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WUMF-FNP\Folder Redirection\Tschaefer\Desktop\"/>
    </mc:Choice>
  </mc:AlternateContent>
  <xr:revisionPtr revIDLastSave="0" documentId="8_{097FC9E9-1D81-4194-962B-6497D4E5AB10}" xr6:coauthVersionLast="41" xr6:coauthVersionMax="41" xr10:uidLastSave="{00000000-0000-0000-0000-000000000000}"/>
  <bookViews>
    <workbookView xWindow="-120" yWindow="-120" windowWidth="20640" windowHeight="11160" tabRatio="382" xr2:uid="{00000000-000D-0000-FFFF-FFFF00000000}"/>
  </bookViews>
  <sheets>
    <sheet name="Narrative Analysis" sheetId="2" r:id="rId1"/>
    <sheet name="2016 Budget" sheetId="1" r:id="rId2"/>
    <sheet name="Pie Chart" sheetId="3" r:id="rId3"/>
    <sheet name="2014 Budget" sheetId="4" r:id="rId4"/>
  </sheets>
  <definedNames>
    <definedName name="Excel_BuiltIn_Print_Titles_1">#REF!</definedName>
    <definedName name="_xlnm.Print_Area" localSheetId="1">'2016 Budget'!$A$1:$N$97</definedName>
    <definedName name="_xlnm.Print_Titles" localSheetId="3">'2014 Budget'!$1:$2</definedName>
    <definedName name="_xlnm.Print_Titles" localSheetId="1">'2016 Budget'!$1:$2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2" l="1"/>
  <c r="B29" i="2"/>
  <c r="C29" i="2" s="1"/>
  <c r="C30" i="2"/>
  <c r="J8" i="2" s="1"/>
  <c r="E7" i="2"/>
  <c r="E6" i="2"/>
  <c r="E5" i="2"/>
  <c r="E3" i="2"/>
  <c r="E4" i="2"/>
  <c r="B27" i="2"/>
  <c r="H26" i="1"/>
  <c r="L21" i="1"/>
  <c r="L16" i="1"/>
  <c r="L10" i="1"/>
  <c r="L11" i="1"/>
  <c r="L22" i="1" s="1"/>
  <c r="D6" i="2" s="1"/>
  <c r="F89" i="1"/>
  <c r="F73" i="1"/>
  <c r="F57" i="1"/>
  <c r="F52" i="1"/>
  <c r="F46" i="1"/>
  <c r="F38" i="1"/>
  <c r="F27" i="1"/>
  <c r="F21" i="1"/>
  <c r="F16" i="1"/>
  <c r="F10" i="1"/>
  <c r="F11" i="1" s="1"/>
  <c r="F5" i="4"/>
  <c r="F7" i="4"/>
  <c r="F8" i="4"/>
  <c r="F9" i="4"/>
  <c r="F10" i="4"/>
  <c r="B11" i="4"/>
  <c r="B12" i="4" s="1"/>
  <c r="B23" i="4" s="1"/>
  <c r="B32" i="4" s="1"/>
  <c r="B81" i="4" s="1"/>
  <c r="D11" i="4"/>
  <c r="F11" i="4" s="1"/>
  <c r="H12" i="4"/>
  <c r="J12" i="4"/>
  <c r="F14" i="4"/>
  <c r="F15" i="4"/>
  <c r="F16" i="4"/>
  <c r="B17" i="4"/>
  <c r="D17" i="4"/>
  <c r="F17" i="4" s="1"/>
  <c r="H17" i="4"/>
  <c r="J17" i="4"/>
  <c r="F19" i="4"/>
  <c r="F20" i="4"/>
  <c r="F21" i="4"/>
  <c r="B22" i="4"/>
  <c r="D22" i="4"/>
  <c r="F22" i="4" s="1"/>
  <c r="H22" i="4"/>
  <c r="J22" i="4"/>
  <c r="F25" i="4"/>
  <c r="F26" i="4"/>
  <c r="F27" i="4"/>
  <c r="F28" i="4"/>
  <c r="F29" i="4"/>
  <c r="F30" i="4"/>
  <c r="F31" i="4"/>
  <c r="F34" i="4"/>
  <c r="F35" i="4"/>
  <c r="B36" i="4"/>
  <c r="D36" i="4"/>
  <c r="F36" i="4"/>
  <c r="H36" i="4"/>
  <c r="J36" i="4"/>
  <c r="F39" i="4"/>
  <c r="F40" i="4"/>
  <c r="F41" i="4"/>
  <c r="F42" i="4"/>
  <c r="F43" i="4"/>
  <c r="F44" i="4"/>
  <c r="B45" i="4"/>
  <c r="D45" i="4"/>
  <c r="F45" i="4" s="1"/>
  <c r="H45" i="4"/>
  <c r="J45" i="4"/>
  <c r="F48" i="4"/>
  <c r="F49" i="4"/>
  <c r="B50" i="4"/>
  <c r="D50" i="4"/>
  <c r="F50" i="4"/>
  <c r="H50" i="4"/>
  <c r="J50" i="4"/>
  <c r="F53" i="4"/>
  <c r="F54" i="4"/>
  <c r="B55" i="4"/>
  <c r="D55" i="4"/>
  <c r="F55" i="4" s="1"/>
  <c r="H55" i="4"/>
  <c r="J55" i="4"/>
  <c r="F58" i="4"/>
  <c r="F59" i="4"/>
  <c r="F60" i="4"/>
  <c r="F61" i="4"/>
  <c r="F62" i="4"/>
  <c r="F63" i="4"/>
  <c r="B64" i="4"/>
  <c r="D64" i="4"/>
  <c r="F64" i="4" s="1"/>
  <c r="H64" i="4"/>
  <c r="J64" i="4"/>
  <c r="F66" i="4"/>
  <c r="F67" i="4"/>
  <c r="F68" i="4"/>
  <c r="F69" i="4"/>
  <c r="F70" i="4"/>
  <c r="F71" i="4"/>
  <c r="F72" i="4"/>
  <c r="F73" i="4"/>
  <c r="F75" i="4"/>
  <c r="F76" i="4"/>
  <c r="F77" i="4"/>
  <c r="F78" i="4"/>
  <c r="B79" i="4"/>
  <c r="D79" i="4"/>
  <c r="F79" i="4" s="1"/>
  <c r="H79" i="4"/>
  <c r="J79" i="4"/>
  <c r="H5" i="1"/>
  <c r="H7" i="1"/>
  <c r="H8" i="1"/>
  <c r="H9" i="1"/>
  <c r="B10" i="1"/>
  <c r="B11" i="1" s="1"/>
  <c r="B22" i="1" s="1"/>
  <c r="B30" i="1" s="1"/>
  <c r="B91" i="1" s="1"/>
  <c r="D10" i="1"/>
  <c r="D11" i="1" s="1"/>
  <c r="J11" i="1"/>
  <c r="J22" i="1" s="1"/>
  <c r="J30" i="1" s="1"/>
  <c r="J91" i="1" s="1"/>
  <c r="J93" i="1" s="1"/>
  <c r="H13" i="1"/>
  <c r="H14" i="1"/>
  <c r="H15" i="1"/>
  <c r="B16" i="1"/>
  <c r="D16" i="1"/>
  <c r="H16" i="1"/>
  <c r="J16" i="1"/>
  <c r="H18" i="1"/>
  <c r="H19" i="1"/>
  <c r="H20" i="1"/>
  <c r="B21" i="1"/>
  <c r="D21" i="1"/>
  <c r="H21" i="1" s="1"/>
  <c r="J21" i="1"/>
  <c r="H24" i="1"/>
  <c r="H25" i="1"/>
  <c r="H27" i="1"/>
  <c r="H29" i="1"/>
  <c r="H36" i="1"/>
  <c r="H37" i="1"/>
  <c r="B38" i="1"/>
  <c r="D38" i="1"/>
  <c r="H38" i="1" s="1"/>
  <c r="J38" i="1"/>
  <c r="L38" i="1"/>
  <c r="C3" i="2"/>
  <c r="H41" i="1"/>
  <c r="T41" i="1"/>
  <c r="H42" i="1"/>
  <c r="T42" i="1"/>
  <c r="H43" i="1"/>
  <c r="T43" i="1"/>
  <c r="H44" i="1"/>
  <c r="T44" i="1"/>
  <c r="H45" i="1"/>
  <c r="T45" i="1"/>
  <c r="B46" i="1"/>
  <c r="D46" i="1"/>
  <c r="H46" i="1" s="1"/>
  <c r="J46" i="1"/>
  <c r="L46" i="1"/>
  <c r="C5" i="2" s="1"/>
  <c r="H49" i="1"/>
  <c r="H51" i="1"/>
  <c r="B52" i="1"/>
  <c r="D52" i="1"/>
  <c r="H52" i="1" s="1"/>
  <c r="J52" i="1"/>
  <c r="L52" i="1"/>
  <c r="Q52" i="1"/>
  <c r="H55" i="1"/>
  <c r="H56" i="1"/>
  <c r="T56" i="1"/>
  <c r="B57" i="1"/>
  <c r="D57" i="1"/>
  <c r="H57" i="1" s="1"/>
  <c r="J57" i="1"/>
  <c r="L57" i="1"/>
  <c r="C6" i="2"/>
  <c r="H67" i="1"/>
  <c r="H68" i="1"/>
  <c r="H69" i="1"/>
  <c r="H70" i="1"/>
  <c r="H71" i="1"/>
  <c r="H72" i="1"/>
  <c r="B73" i="1"/>
  <c r="D73" i="1"/>
  <c r="H73" i="1" s="1"/>
  <c r="J73" i="1"/>
  <c r="L73" i="1"/>
  <c r="H8" i="2" s="1"/>
  <c r="H76" i="1"/>
  <c r="H77" i="1"/>
  <c r="H78" i="1"/>
  <c r="H79" i="1"/>
  <c r="H80" i="1"/>
  <c r="H81" i="1"/>
  <c r="H82" i="1"/>
  <c r="H83" i="1"/>
  <c r="H85" i="1"/>
  <c r="H86" i="1"/>
  <c r="H87" i="1"/>
  <c r="H88" i="1"/>
  <c r="B89" i="1"/>
  <c r="D89" i="1"/>
  <c r="H89" i="1" s="1"/>
  <c r="J89" i="1"/>
  <c r="L89" i="1"/>
  <c r="I8" i="2"/>
  <c r="B31" i="2"/>
  <c r="C31" i="2" l="1"/>
  <c r="B7" i="2"/>
  <c r="B8" i="2" s="1"/>
  <c r="F22" i="1"/>
  <c r="F30" i="1" s="1"/>
  <c r="F91" i="1" s="1"/>
  <c r="E8" i="2"/>
  <c r="F6" i="2"/>
  <c r="T46" i="1"/>
  <c r="H23" i="4"/>
  <c r="H32" i="4" s="1"/>
  <c r="H81" i="4" s="1"/>
  <c r="J23" i="4"/>
  <c r="J32" i="4" s="1"/>
  <c r="J81" i="4" s="1"/>
  <c r="D12" i="4"/>
  <c r="F12" i="4" s="1"/>
  <c r="D22" i="1"/>
  <c r="H11" i="1"/>
  <c r="A86" i="4"/>
  <c r="A85" i="4"/>
  <c r="D7" i="2"/>
  <c r="F7" i="2"/>
  <c r="C8" i="2"/>
  <c r="H10" i="1"/>
  <c r="D23" i="4"/>
  <c r="D4" i="2"/>
  <c r="D5" i="2"/>
  <c r="F5" i="2" s="1"/>
  <c r="L30" i="1"/>
  <c r="L91" i="1" s="1"/>
  <c r="D3" i="2"/>
  <c r="D8" i="2" s="1"/>
  <c r="F8" i="2" l="1"/>
  <c r="G6" i="2" s="1"/>
  <c r="G5" i="2"/>
  <c r="H5" i="2" s="1"/>
  <c r="I5" i="2"/>
  <c r="I6" i="2"/>
  <c r="H6" i="2"/>
  <c r="J6" i="2"/>
  <c r="F3" i="2"/>
  <c r="G3" i="2" s="1"/>
  <c r="F4" i="2"/>
  <c r="G4" i="2" s="1"/>
  <c r="G7" i="2"/>
  <c r="D96" i="1"/>
  <c r="D95" i="1"/>
  <c r="D94" i="1" s="1"/>
  <c r="D97" i="1"/>
  <c r="D32" i="4"/>
  <c r="F23" i="4"/>
  <c r="H22" i="1"/>
  <c r="D30" i="1"/>
  <c r="J5" i="2" l="1"/>
  <c r="K5" i="2" s="1"/>
  <c r="H30" i="1"/>
  <c r="D91" i="1"/>
  <c r="H91" i="1" s="1"/>
  <c r="F32" i="4"/>
  <c r="D81" i="4"/>
  <c r="I7" i="2"/>
  <c r="J7" i="2"/>
  <c r="H7" i="2"/>
  <c r="I3" i="2"/>
  <c r="G8" i="2"/>
  <c r="J3" i="2"/>
  <c r="H3" i="2"/>
  <c r="K3" i="2" s="1"/>
  <c r="I4" i="2"/>
  <c r="H4" i="2"/>
  <c r="J4" i="2"/>
  <c r="K6" i="2"/>
  <c r="K7" i="2" l="1"/>
  <c r="F81" i="4"/>
  <c r="A84" i="4"/>
  <c r="K4" i="2"/>
  <c r="K8" i="2" s="1"/>
</calcChain>
</file>

<file path=xl/sharedStrings.xml><?xml version="1.0" encoding="utf-8"?>
<sst xmlns="http://schemas.openxmlformats.org/spreadsheetml/2006/main" count="235" uniqueCount="130">
  <si>
    <t>Narrative</t>
  </si>
  <si>
    <t>Expenses</t>
  </si>
  <si>
    <t>Actual</t>
  </si>
  <si>
    <t>Budgeted</t>
  </si>
  <si>
    <t>Budget (9mos)</t>
  </si>
  <si>
    <t>Actual (9mos)</t>
  </si>
  <si>
    <t>Proposed</t>
  </si>
  <si>
    <t>Budget</t>
  </si>
  <si>
    <t>Staff</t>
  </si>
  <si>
    <t>Allocations</t>
  </si>
  <si>
    <t>Pastoral Support</t>
  </si>
  <si>
    <t xml:space="preserve">    Pastor Net Compensation</t>
  </si>
  <si>
    <t>Allocate by Time</t>
  </si>
  <si>
    <t xml:space="preserve">  Pastor Paid Benefits</t>
  </si>
  <si>
    <t xml:space="preserve">    MRA Flex</t>
  </si>
  <si>
    <t xml:space="preserve">    Personal Investment Plan</t>
  </si>
  <si>
    <t xml:space="preserve">    403(b) Contribution</t>
  </si>
  <si>
    <t xml:space="preserve">    Clergy Portion Health Ins</t>
  </si>
  <si>
    <t xml:space="preserve">  Total Pastor Paid Benefits</t>
  </si>
  <si>
    <t xml:space="preserve">  Total Pastor Compensation</t>
  </si>
  <si>
    <t xml:space="preserve"> Church Paid Pastor Benefits </t>
  </si>
  <si>
    <t xml:space="preserve">   Church Portion of Health Ins</t>
  </si>
  <si>
    <t xml:space="preserve">   Clergy Retirement Security</t>
  </si>
  <si>
    <t xml:space="preserve">   Clergy Disability (CPP)</t>
  </si>
  <si>
    <t xml:space="preserve">  Total Church Paid Benefits</t>
  </si>
  <si>
    <t xml:space="preserve">  Other Pastoral Expense</t>
  </si>
  <si>
    <t xml:space="preserve">   Professional Expense</t>
  </si>
  <si>
    <t xml:space="preserve">   Education Expense</t>
  </si>
  <si>
    <t xml:space="preserve">   Pastor Travel</t>
  </si>
  <si>
    <t xml:space="preserve">  Total Other Pastoral Expense</t>
  </si>
  <si>
    <t>Total Pastoral Support</t>
  </si>
  <si>
    <t>Pulpit Supply</t>
  </si>
  <si>
    <t>Worship</t>
  </si>
  <si>
    <t>Organist Salary (Gross)</t>
  </si>
  <si>
    <t>Organist Supply</t>
  </si>
  <si>
    <t>Choir Director (Gross)</t>
  </si>
  <si>
    <t>Secretary (Gross)</t>
  </si>
  <si>
    <t>Allocate by Cost</t>
  </si>
  <si>
    <t>Custodian (Gross)</t>
  </si>
  <si>
    <t>Church Withholding</t>
  </si>
  <si>
    <t xml:space="preserve">  Subtotal</t>
  </si>
  <si>
    <t>Choir Music</t>
  </si>
  <si>
    <t>Miscellaneous</t>
  </si>
  <si>
    <t>Education</t>
  </si>
  <si>
    <t>Ch. School Lit.Youth/Adult Ed</t>
  </si>
  <si>
    <t>Spiritual Formation</t>
  </si>
  <si>
    <t>VBS Expense &amp; Supplies</t>
  </si>
  <si>
    <t>Church School Supplies</t>
  </si>
  <si>
    <t>Youth/Confirm/Bacc/Camping</t>
  </si>
  <si>
    <t>Leadership Training</t>
  </si>
  <si>
    <t>Missions</t>
  </si>
  <si>
    <t>Other</t>
  </si>
  <si>
    <t>Apportionments</t>
  </si>
  <si>
    <t>Missions*</t>
  </si>
  <si>
    <t>Other Programs</t>
  </si>
  <si>
    <t>Membership &amp; Evangelism</t>
  </si>
  <si>
    <t>Hospitality &amp; Outreach</t>
  </si>
  <si>
    <t>Office/Administration</t>
  </si>
  <si>
    <t>Supplies</t>
  </si>
  <si>
    <t>Machine Maint &amp; Technology</t>
  </si>
  <si>
    <t>Postage</t>
  </si>
  <si>
    <t xml:space="preserve"> </t>
  </si>
  <si>
    <t>Phone</t>
  </si>
  <si>
    <t>Finance Committee Expense</t>
  </si>
  <si>
    <t>Petty Cash</t>
  </si>
  <si>
    <t>Trustees</t>
  </si>
  <si>
    <t>Utilities</t>
  </si>
  <si>
    <t>Cap Exp/Maint:Church</t>
  </si>
  <si>
    <t>Property Insurance</t>
  </si>
  <si>
    <t>Piano/Organ Repair/Tuning</t>
  </si>
  <si>
    <t>Equipmt Purchase/Copier Lease</t>
  </si>
  <si>
    <t>Custodial Service</t>
  </si>
  <si>
    <t>Custodial Supplies</t>
  </si>
  <si>
    <t>Loan Payment</t>
  </si>
  <si>
    <t>Parsonage:</t>
  </si>
  <si>
    <t xml:space="preserve">  Utilities</t>
  </si>
  <si>
    <t xml:space="preserve">  Telephone</t>
  </si>
  <si>
    <t xml:space="preserve">  Capital Expend: Parsonage</t>
  </si>
  <si>
    <t xml:space="preserve">  Repairs/Maintenance</t>
  </si>
  <si>
    <t xml:space="preserve">    Subtotal</t>
  </si>
  <si>
    <t>TOTAL EXPENSES</t>
  </si>
  <si>
    <t xml:space="preserve"> Summary</t>
  </si>
  <si>
    <t>Budget 2015</t>
  </si>
  <si>
    <t>% Increase</t>
  </si>
  <si>
    <t xml:space="preserve">  Increase</t>
  </si>
  <si>
    <t>*For apportionments, allocate missions to missions &amp; denominational funding allocate by cost</t>
  </si>
  <si>
    <t>$ Increase</t>
  </si>
  <si>
    <t>Monthly Budget</t>
  </si>
  <si>
    <t xml:space="preserve">  Per month</t>
  </si>
  <si>
    <t>Weekly Budget</t>
  </si>
  <si>
    <t xml:space="preserve">  Per Sunday</t>
  </si>
  <si>
    <t>Iteration</t>
  </si>
  <si>
    <t>Total</t>
  </si>
  <si>
    <t>1- Part of apportionments paid directly to missions</t>
  </si>
  <si>
    <t>2- Direct costs assigned to ministry area</t>
  </si>
  <si>
    <t>3- Pastor compensation allocated by time</t>
  </si>
  <si>
    <t>%</t>
  </si>
  <si>
    <t>WORSHIP (Participating in Public Worship)</t>
  </si>
  <si>
    <t>CONGREGATIONAL CARE (Caring for One Another)</t>
  </si>
  <si>
    <t>SPIRITUAL FORMATION (Growing in Our Faith)</t>
  </si>
  <si>
    <t>HOSPITALITY &amp; OUTREACH (Sharing our Faith with Others)</t>
  </si>
  <si>
    <t>MISSIONS (Loving Our Neighbors, Near and Far)</t>
  </si>
  <si>
    <t xml:space="preserve">Budget </t>
  </si>
  <si>
    <t>(9mos)</t>
  </si>
  <si>
    <t>Bibles</t>
  </si>
  <si>
    <t>Budget 2014</t>
  </si>
  <si>
    <t xml:space="preserve">       WORSHIP</t>
  </si>
  <si>
    <t xml:space="preserve">       CONGREGATIONAL CARE</t>
  </si>
  <si>
    <t xml:space="preserve">       SPIRITUAL FORMATION</t>
  </si>
  <si>
    <t xml:space="preserve">       HOSPITALITY &amp; OUTREACH</t>
  </si>
  <si>
    <t xml:space="preserve">       MISSIONS</t>
  </si>
  <si>
    <t>District Apportionment</t>
  </si>
  <si>
    <t xml:space="preserve">- -   </t>
  </si>
  <si>
    <t>Child Care</t>
  </si>
  <si>
    <t>Cong. Revitalization, New Ministries, &amp; Mission Churches</t>
  </si>
  <si>
    <t>Conference Budget (Apportionments)</t>
  </si>
  <si>
    <t>Global &amp; National Connectional Ministires</t>
  </si>
  <si>
    <t>Local Congregations</t>
  </si>
  <si>
    <t>Administrative Costs</t>
  </si>
  <si>
    <t>Clergy &amp; Laity Leadership Development</t>
  </si>
  <si>
    <t>Assigned to Missions (Lines 21, 22)</t>
  </si>
  <si>
    <t>Allocated by Cost (Lines 20, 23-25)</t>
  </si>
  <si>
    <t>4- Parsonage costs allocated by time</t>
  </si>
  <si>
    <t>5- Total of columns 1, 2, 3 &amp; 4</t>
  </si>
  <si>
    <t>Wisconsin Connectional Ministries</t>
  </si>
  <si>
    <t>6- Percent distribution of 5 by ministry area</t>
  </si>
  <si>
    <t>7- Administrative and office costs allocated by percentages in column 6</t>
  </si>
  <si>
    <t>8- Building costs allocated by percentages in column 6</t>
  </si>
  <si>
    <t>9- Remainder of apportionments allocated by percentages in column 6</t>
  </si>
  <si>
    <t>Spiritual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</si>
</sst>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8" formatCode="&quot;$&quot;#,##0.00_);[Red]\(&quot;$&quot;#,##0.00\)"/>
    <numFmt numFmtId="164" formatCode="[$$-409]#,##0.00;[Red]\-[$$-409]#,##0.00"/>
    <numFmt numFmtId="165" formatCode="\$#,##0.00_);[Red]&quot;($&quot;#,##0.00\)"/>
    <numFmt numFmtId="166" formatCode="\$#,##0.00_);&quot;($&quot;#,##0.00\)"/>
    <numFmt numFmtId="167" formatCode="0.0%"/>
    <numFmt numFmtId="168" formatCode="[$$-409]#,##0.00;[Red][$$-409]#,##0.00"/>
    <numFmt numFmtId="169" formatCode="[$$-409]#,##0;\-[$$-409]#,##0"/>
    <numFmt numFmtId="170" formatCode="[$$-409]#,##0;[Red]\-[$$-409]#,##0"/>
    <numFmt numFmtId="171" formatCode="[$$-409]#,##0;[Red][$$-409]#,##0"/>
  </numFmts>
  <fonts count="23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u/>
      <sz val="11"/>
      <name val="Arial"/>
      <family val="2"/>
    </font>
    <font>
      <u/>
      <sz val="11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Trebuchet MS"/>
      <family val="2"/>
      <charset val="1"/>
    </font>
    <font>
      <b/>
      <i/>
      <sz val="11"/>
      <name val="Trebuchet MS"/>
      <family val="2"/>
      <charset val="1"/>
    </font>
    <font>
      <b/>
      <i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u/>
      <sz val="12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164" fontId="0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8" fillId="0" borderId="0" xfId="0" applyFont="1"/>
    <xf numFmtId="164" fontId="1" fillId="0" borderId="0" xfId="0" applyNumberFormat="1" applyFont="1"/>
    <xf numFmtId="0" fontId="4" fillId="0" borderId="0" xfId="0" applyFont="1" applyAlignment="1">
      <alignment horizontal="center"/>
    </xf>
    <xf numFmtId="165" fontId="1" fillId="0" borderId="0" xfId="0" applyNumberFormat="1" applyFont="1"/>
    <xf numFmtId="165" fontId="9" fillId="0" borderId="0" xfId="0" applyNumberFormat="1" applyFont="1"/>
    <xf numFmtId="165" fontId="0" fillId="0" borderId="0" xfId="0" applyNumberFormat="1"/>
    <xf numFmtId="164" fontId="1" fillId="0" borderId="0" xfId="0" applyNumberFormat="1" applyFont="1" applyFill="1"/>
    <xf numFmtId="0" fontId="1" fillId="0" borderId="0" xfId="0" applyFont="1" applyBorder="1" applyAlignment="1">
      <alignment horizontal="center" vertical="center" textRotation="90"/>
    </xf>
    <xf numFmtId="165" fontId="8" fillId="0" borderId="0" xfId="0" applyNumberFormat="1" applyFont="1"/>
    <xf numFmtId="165" fontId="10" fillId="0" borderId="0" xfId="0" applyNumberFormat="1" applyFont="1"/>
    <xf numFmtId="165" fontId="6" fillId="0" borderId="0" xfId="0" applyNumberFormat="1" applyFont="1"/>
    <xf numFmtId="164" fontId="8" fillId="0" borderId="0" xfId="0" applyNumberFormat="1" applyFont="1" applyFill="1"/>
    <xf numFmtId="165" fontId="2" fillId="0" borderId="0" xfId="0" applyNumberFormat="1" applyFont="1"/>
    <xf numFmtId="165" fontId="11" fillId="0" borderId="0" xfId="0" applyNumberFormat="1" applyFont="1"/>
    <xf numFmtId="165" fontId="12" fillId="0" borderId="0" xfId="0" applyNumberFormat="1" applyFont="1"/>
    <xf numFmtId="164" fontId="2" fillId="0" borderId="0" xfId="0" applyNumberFormat="1" applyFont="1" applyFill="1"/>
    <xf numFmtId="164" fontId="8" fillId="0" borderId="0" xfId="0" applyNumberFormat="1" applyFont="1"/>
    <xf numFmtId="164" fontId="2" fillId="0" borderId="0" xfId="0" applyNumberFormat="1" applyFont="1"/>
    <xf numFmtId="166" fontId="9" fillId="0" borderId="0" xfId="0" applyNumberFormat="1" applyFont="1"/>
    <xf numFmtId="166" fontId="1" fillId="0" borderId="0" xfId="0" applyNumberFormat="1" applyFont="1"/>
    <xf numFmtId="166" fontId="0" fillId="0" borderId="0" xfId="0" applyNumberFormat="1"/>
    <xf numFmtId="164" fontId="1" fillId="0" borderId="0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10" fillId="0" borderId="0" xfId="0" applyNumberFormat="1" applyFont="1"/>
    <xf numFmtId="166" fontId="8" fillId="0" borderId="0" xfId="0" applyNumberFormat="1" applyFont="1"/>
    <xf numFmtId="166" fontId="6" fillId="0" borderId="0" xfId="0" applyNumberFormat="1" applyFont="1"/>
    <xf numFmtId="164" fontId="8" fillId="0" borderId="0" xfId="0" applyNumberFormat="1" applyFont="1" applyFill="1" applyBorder="1"/>
    <xf numFmtId="0" fontId="9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horizontal="center" vertical="center" textRotation="90" wrapText="1"/>
    </xf>
    <xf numFmtId="164" fontId="8" fillId="0" borderId="0" xfId="0" applyNumberFormat="1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 vertical="center" textRotation="90" wrapText="1"/>
    </xf>
    <xf numFmtId="0" fontId="13" fillId="0" borderId="0" xfId="0" applyFont="1" applyBorder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NumberFormat="1"/>
    <xf numFmtId="10" fontId="1" fillId="0" borderId="0" xfId="0" applyNumberFormat="1" applyFont="1" applyAlignment="1">
      <alignment horizontal="right"/>
    </xf>
    <xf numFmtId="167" fontId="1" fillId="0" borderId="0" xfId="0" applyNumberFormat="1" applyFont="1"/>
    <xf numFmtId="0" fontId="1" fillId="0" borderId="0" xfId="0" applyFont="1" applyAlignment="1">
      <alignment horizontal="right" wrapText="1"/>
    </xf>
    <xf numFmtId="168" fontId="1" fillId="0" borderId="0" xfId="0" applyNumberFormat="1" applyFont="1"/>
    <xf numFmtId="169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70" fontId="0" fillId="0" borderId="0" xfId="0" applyNumberFormat="1"/>
    <xf numFmtId="167" fontId="0" fillId="0" borderId="0" xfId="0" applyNumberFormat="1"/>
    <xf numFmtId="0" fontId="14" fillId="0" borderId="0" xfId="0" applyFont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70" fontId="14" fillId="0" borderId="0" xfId="0" applyNumberFormat="1" applyFont="1"/>
    <xf numFmtId="167" fontId="14" fillId="0" borderId="0" xfId="0" applyNumberFormat="1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 wrapText="1"/>
    </xf>
    <xf numFmtId="0" fontId="5" fillId="0" borderId="0" xfId="0" applyFont="1"/>
    <xf numFmtId="0" fontId="17" fillId="0" borderId="0" xfId="0" applyFont="1" applyAlignment="1">
      <alignment horizontal="center" wrapText="1"/>
    </xf>
    <xf numFmtId="0" fontId="6" fillId="0" borderId="0" xfId="0" applyFont="1"/>
    <xf numFmtId="0" fontId="18" fillId="0" borderId="0" xfId="0" applyFont="1"/>
    <xf numFmtId="165" fontId="19" fillId="0" borderId="0" xfId="0" applyNumberFormat="1" applyFont="1"/>
    <xf numFmtId="165" fontId="18" fillId="0" borderId="0" xfId="0" applyNumberFormat="1" applyFont="1"/>
    <xf numFmtId="165" fontId="20" fillId="0" borderId="0" xfId="0" applyNumberFormat="1" applyFont="1"/>
    <xf numFmtId="165" fontId="21" fillId="0" borderId="0" xfId="0" applyNumberFormat="1" applyFont="1"/>
    <xf numFmtId="165" fontId="22" fillId="0" borderId="0" xfId="0" applyNumberFormat="1" applyFont="1"/>
    <xf numFmtId="165" fontId="3" fillId="0" borderId="0" xfId="0" applyNumberFormat="1" applyFont="1"/>
    <xf numFmtId="166" fontId="19" fillId="0" borderId="0" xfId="0" applyNumberFormat="1" applyFont="1"/>
    <xf numFmtId="166" fontId="18" fillId="0" borderId="0" xfId="0" applyNumberFormat="1" applyFont="1" applyBorder="1"/>
    <xf numFmtId="166" fontId="20" fillId="0" borderId="0" xfId="0" applyNumberFormat="1" applyFont="1"/>
    <xf numFmtId="166" fontId="21" fillId="0" borderId="0" xfId="0" applyNumberFormat="1" applyFont="1" applyBorder="1"/>
    <xf numFmtId="0" fontId="19" fillId="0" borderId="0" xfId="0" applyFont="1"/>
    <xf numFmtId="0" fontId="0" fillId="0" borderId="0" xfId="0" applyFont="1" applyFill="1"/>
    <xf numFmtId="165" fontId="6" fillId="0" borderId="0" xfId="0" applyNumberFormat="1" applyFont="1" applyFill="1"/>
    <xf numFmtId="166" fontId="20" fillId="0" borderId="0" xfId="0" applyNumberFormat="1" applyFont="1" applyFill="1"/>
    <xf numFmtId="166" fontId="6" fillId="0" borderId="0" xfId="0" applyNumberFormat="1" applyFont="1" applyFill="1"/>
    <xf numFmtId="166" fontId="21" fillId="0" borderId="0" xfId="0" applyNumberFormat="1" applyFont="1" applyFill="1" applyBorder="1"/>
    <xf numFmtId="166" fontId="18" fillId="0" borderId="0" xfId="0" applyNumberFormat="1" applyFont="1"/>
    <xf numFmtId="166" fontId="21" fillId="0" borderId="0" xfId="0" applyNumberFormat="1" applyFont="1"/>
    <xf numFmtId="0" fontId="18" fillId="0" borderId="0" xfId="0" applyFont="1" applyBorder="1"/>
    <xf numFmtId="0" fontId="6" fillId="0" borderId="0" xfId="0" applyFont="1" applyAlignment="1">
      <alignment horizontal="right"/>
    </xf>
    <xf numFmtId="10" fontId="0" fillId="0" borderId="0" xfId="0" applyNumberFormat="1"/>
    <xf numFmtId="169" fontId="0" fillId="0" borderId="0" xfId="0" applyNumberFormat="1"/>
    <xf numFmtId="8" fontId="18" fillId="0" borderId="0" xfId="0" applyNumberFormat="1" applyFont="1"/>
    <xf numFmtId="8" fontId="21" fillId="0" borderId="0" xfId="0" applyNumberFormat="1" applyFont="1"/>
    <xf numFmtId="8" fontId="3" fillId="0" borderId="0" xfId="0" applyNumberFormat="1" applyFont="1"/>
    <xf numFmtId="7" fontId="18" fillId="0" borderId="0" xfId="0" applyNumberFormat="1" applyFont="1"/>
    <xf numFmtId="7" fontId="21" fillId="0" borderId="0" xfId="0" applyNumberFormat="1" applyFont="1"/>
    <xf numFmtId="166" fontId="9" fillId="0" borderId="0" xfId="0" quotePrefix="1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167" fontId="0" fillId="0" borderId="4" xfId="0" applyNumberFormat="1" applyBorder="1"/>
    <xf numFmtId="171" fontId="0" fillId="0" borderId="0" xfId="0" applyNumberFormat="1"/>
    <xf numFmtId="167" fontId="0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71" fontId="0" fillId="0" borderId="4" xfId="0" applyNumberFormat="1" applyBorder="1"/>
    <xf numFmtId="0" fontId="14" fillId="0" borderId="0" xfId="0" applyFont="1" applyAlignment="1">
      <alignment horizontal="left" indent="4"/>
    </xf>
    <xf numFmtId="170" fontId="14" fillId="0" borderId="4" xfId="0" applyNumberFormat="1" applyFont="1" applyBorder="1"/>
    <xf numFmtId="167" fontId="14" fillId="0" borderId="4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67" fontId="14" fillId="0" borderId="0" xfId="0" applyNumberFormat="1" applyFont="1" applyBorder="1"/>
    <xf numFmtId="170" fontId="0" fillId="0" borderId="0" xfId="0" applyNumberFormat="1" applyBorder="1"/>
    <xf numFmtId="170" fontId="14" fillId="0" borderId="2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Narrative Budget - 'St. Luke' UMC</a:t>
            </a:r>
          </a:p>
        </c:rich>
      </c:tx>
      <c:layout>
        <c:manualLayout>
          <c:xMode val="edge"/>
          <c:yMode val="edge"/>
          <c:x val="0.34474503428087733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907157105659164E-2"/>
          <c:y val="0.16072348595314476"/>
          <c:w val="0.81404454591446251"/>
          <c:h val="0.72390700606456815"/>
        </c:manualLayout>
      </c:layout>
      <c:pie3DChart>
        <c:varyColors val="1"/>
        <c:ser>
          <c:idx val="0"/>
          <c:order val="0"/>
          <c:spPr>
            <a:solidFill>
              <a:srgbClr val="004586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AE4-419F-8C1E-D98F5BDF2CC7}"/>
              </c:ext>
            </c:extLst>
          </c:dPt>
          <c:dPt>
            <c:idx val="1"/>
            <c:bubble3D val="0"/>
            <c:spPr>
              <a:solidFill>
                <a:srgbClr val="FF33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AE4-419F-8C1E-D98F5BDF2CC7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AE4-419F-8C1E-D98F5BDF2CC7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AE4-419F-8C1E-D98F5BDF2CC7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AE4-419F-8C1E-D98F5BDF2CC7}"/>
              </c:ext>
            </c:extLst>
          </c:dPt>
          <c:dLbls>
            <c:dLbl>
              <c:idx val="0"/>
              <c:layout>
                <c:manualLayout>
                  <c:x val="1.8897456347699178E-2"/>
                  <c:y val="1.27115039859398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17133536355245"/>
                      <c:h val="0.1077085443706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AE4-419F-8C1E-D98F5BDF2CC7}"/>
                </c:ext>
              </c:extLst>
            </c:dLbl>
            <c:dLbl>
              <c:idx val="1"/>
              <c:layout>
                <c:manualLayout>
                  <c:x val="-4.7645823975160352E-2"/>
                  <c:y val="2.86188437071195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E4-419F-8C1E-D98F5BDF2CC7}"/>
                </c:ext>
              </c:extLst>
            </c:dLbl>
            <c:dLbl>
              <c:idx val="2"/>
              <c:layout>
                <c:manualLayout>
                  <c:x val="-1.1232819056932375E-2"/>
                  <c:y val="2.6042369518132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E4-419F-8C1E-D98F5BDF2CC7}"/>
                </c:ext>
              </c:extLst>
            </c:dLbl>
            <c:dLbl>
              <c:idx val="4"/>
              <c:layout>
                <c:manualLayout>
                  <c:x val="-1.6368897582829844E-2"/>
                  <c:y val="-3.648820257188447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E4-419F-8C1E-D98F5BDF2CC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'Narrative Analysis'!$A$3:$A$7</c:f>
              <c:strCache>
                <c:ptCount val="5"/>
                <c:pt idx="0">
                  <c:v>       WORSHIP</c:v>
                </c:pt>
                <c:pt idx="1">
                  <c:v>       CONGREGATIONAL CARE</c:v>
                </c:pt>
                <c:pt idx="2">
                  <c:v>       SPIRITUAL FORMATION</c:v>
                </c:pt>
                <c:pt idx="3">
                  <c:v>       HOSPITALITY &amp; OUTREACH</c:v>
                </c:pt>
                <c:pt idx="4">
                  <c:v>       MISSIONS</c:v>
                </c:pt>
              </c:strCache>
            </c:strRef>
          </c:cat>
          <c:val>
            <c:numRef>
              <c:f>'Narrative Analysis'!$K$3:$K$7</c:f>
              <c:numCache>
                <c:formatCode>[$$-409]#,##0;[Red]\-[$$-409]#,##0</c:formatCode>
                <c:ptCount val="5"/>
                <c:pt idx="0">
                  <c:v>62845.405105604535</c:v>
                </c:pt>
                <c:pt idx="1">
                  <c:v>18096.79327514824</c:v>
                </c:pt>
                <c:pt idx="2">
                  <c:v>34214.425160477702</c:v>
                </c:pt>
                <c:pt idx="3">
                  <c:v>13233.693187184588</c:v>
                </c:pt>
                <c:pt idx="4">
                  <c:v>38173.68327158493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E4-419F-8C1E-D98F5BDF2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3175">
          <a:noFill/>
          <a:prstDash val="solid"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19050</xdr:rowOff>
    </xdr:from>
    <xdr:to>
      <xdr:col>10</xdr:col>
      <xdr:colOff>317500</xdr:colOff>
      <xdr:row>25</xdr:row>
      <xdr:rowOff>6350</xdr:rowOff>
    </xdr:to>
    <xdr:graphicFrame macro="">
      <xdr:nvGraphicFramePr>
        <xdr:cNvPr id="3104" name="Chart 1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zoomScaleNormal="100" workbookViewId="0">
      <selection activeCell="B7" sqref="B7"/>
    </sheetView>
  </sheetViews>
  <sheetFormatPr defaultColWidth="11.5703125" defaultRowHeight="12.75" x14ac:dyDescent="0.2"/>
  <cols>
    <col min="1" max="1" width="48.42578125" customWidth="1"/>
    <col min="2" max="2" width="10.5703125" style="64" customWidth="1"/>
    <col min="3" max="3" width="9.85546875" style="65" customWidth="1"/>
    <col min="4" max="5" width="10.7109375" customWidth="1"/>
    <col min="6" max="6" width="10.42578125" customWidth="1"/>
    <col min="7" max="11" width="9.85546875" customWidth="1"/>
  </cols>
  <sheetData>
    <row r="1" spans="1:12" ht="16.5" x14ac:dyDescent="0.3">
      <c r="A1" s="66"/>
      <c r="B1" s="126" t="s">
        <v>91</v>
      </c>
      <c r="C1" s="126"/>
      <c r="D1" s="126"/>
      <c r="E1" s="126"/>
      <c r="F1" s="126"/>
      <c r="G1" s="126"/>
      <c r="H1" s="126"/>
      <c r="I1" s="126"/>
      <c r="J1" s="66"/>
      <c r="K1" s="66"/>
      <c r="L1" s="122"/>
    </row>
    <row r="2" spans="1:12" ht="16.5" x14ac:dyDescent="0.3">
      <c r="A2" s="67"/>
      <c r="B2" s="68">
        <v>1</v>
      </c>
      <c r="C2" s="68">
        <v>2</v>
      </c>
      <c r="D2" s="68">
        <v>3</v>
      </c>
      <c r="E2" s="68">
        <v>4</v>
      </c>
      <c r="F2" s="68">
        <v>5</v>
      </c>
      <c r="G2" s="68">
        <v>6</v>
      </c>
      <c r="H2" s="68">
        <v>7</v>
      </c>
      <c r="I2" s="68">
        <v>8</v>
      </c>
      <c r="J2" s="69">
        <v>9</v>
      </c>
      <c r="K2" s="69" t="s">
        <v>92</v>
      </c>
      <c r="L2" s="123"/>
    </row>
    <row r="3" spans="1:12" ht="16.5" x14ac:dyDescent="0.3">
      <c r="A3" s="119" t="s">
        <v>106</v>
      </c>
      <c r="B3" s="70"/>
      <c r="C3" s="70">
        <f>'2016 Budget'!L24+'2016 Budget'!L25+'2016 Budget'!L26+'2016 Budget'!L38+'2016 Budget'!L79+('2016 Budget'!L25/('2016 Budget'!L25+'2016 Budget'!L27))*'2016 Budget'!L29</f>
        <v>9357.5102591453851</v>
      </c>
      <c r="D3" s="70">
        <f>('2016 Budget'!L$22*0.4)</f>
        <v>28644.800000000003</v>
      </c>
      <c r="E3" s="70">
        <f>SUM('2016 Budget'!L$85:L$88)*0.4</f>
        <v>2312</v>
      </c>
      <c r="F3" s="70">
        <f t="shared" ref="F3:F8" si="0">SUM(B3:E3)</f>
        <v>40314.310259145386</v>
      </c>
      <c r="G3" s="71">
        <f>F3/F$8</f>
        <v>0.37730485042148687</v>
      </c>
      <c r="H3" s="70">
        <f>H$8*G3</f>
        <v>5693.3376696097112</v>
      </c>
      <c r="I3" s="70">
        <f>I$8*G3</f>
        <v>15084.647919851044</v>
      </c>
      <c r="J3" s="70">
        <f>J$8*G3</f>
        <v>1753.1092569983964</v>
      </c>
      <c r="K3" s="70">
        <f>B3+C3+D3+E3+H3+I3+J3</f>
        <v>62845.405105604535</v>
      </c>
      <c r="L3" s="124"/>
    </row>
    <row r="4" spans="1:12" ht="16.5" x14ac:dyDescent="0.3">
      <c r="A4" s="119" t="s">
        <v>107</v>
      </c>
      <c r="B4" s="70"/>
      <c r="C4" s="70"/>
      <c r="D4" s="70">
        <f>('2016 Budget'!L$22*0.15)</f>
        <v>10741.8</v>
      </c>
      <c r="E4" s="70">
        <f>SUM('2016 Budget'!L$85:L$88)*0.15</f>
        <v>867</v>
      </c>
      <c r="F4" s="70">
        <f t="shared" si="0"/>
        <v>11608.8</v>
      </c>
      <c r="G4" s="71">
        <f>F4/F$8</f>
        <v>0.10864768662585096</v>
      </c>
      <c r="H4" s="70">
        <f>H$8*G4</f>
        <v>1639.4381527083651</v>
      </c>
      <c r="I4" s="70">
        <f>I$8*G4</f>
        <v>4343.7345113015217</v>
      </c>
      <c r="J4" s="70">
        <f>J$8*G4</f>
        <v>504.82061113835385</v>
      </c>
      <c r="K4" s="70">
        <f>B4+C4+D4+E4+H4+I4+J4</f>
        <v>18096.79327514824</v>
      </c>
      <c r="L4" s="122"/>
    </row>
    <row r="5" spans="1:12" ht="16.5" x14ac:dyDescent="0.3">
      <c r="A5" s="119" t="s">
        <v>108</v>
      </c>
      <c r="B5" s="70"/>
      <c r="C5" s="70">
        <f>'2016 Budget'!L46+'2016 Budget'!L28</f>
        <v>2600</v>
      </c>
      <c r="D5" s="70">
        <f>('2016 Budget'!L$22*0.25)</f>
        <v>17903</v>
      </c>
      <c r="E5" s="70">
        <f>SUM('2016 Budget'!L$85:L$88)*0.25</f>
        <v>1445</v>
      </c>
      <c r="F5" s="70">
        <f t="shared" si="0"/>
        <v>21948</v>
      </c>
      <c r="G5" s="71">
        <f>F5/F$8</f>
        <v>0.2054130854234871</v>
      </c>
      <c r="H5" s="70">
        <f>H$8*G5</f>
        <v>3099.5786451350014</v>
      </c>
      <c r="I5" s="70">
        <f>I$8*G5</f>
        <v>8212.4151552310141</v>
      </c>
      <c r="J5" s="70">
        <f>J$8*G5</f>
        <v>954.43136011169042</v>
      </c>
      <c r="K5" s="70">
        <f>B5+C5+D5+E5+H5+I5+J5</f>
        <v>34214.425160477702</v>
      </c>
      <c r="L5" s="122"/>
    </row>
    <row r="6" spans="1:12" ht="16.5" x14ac:dyDescent="0.3">
      <c r="A6" s="119" t="s">
        <v>109</v>
      </c>
      <c r="B6" s="70"/>
      <c r="C6" s="70">
        <f>'2016 Budget'!L57</f>
        <v>750</v>
      </c>
      <c r="D6" s="70">
        <f>('2016 Budget'!L$22*0.1)</f>
        <v>7161.2000000000007</v>
      </c>
      <c r="E6" s="70">
        <f>SUM('2016 Budget'!L$85:L$88)*0.1</f>
        <v>578</v>
      </c>
      <c r="F6" s="70">
        <f t="shared" si="0"/>
        <v>8489.2000000000007</v>
      </c>
      <c r="G6" s="71">
        <f>F6/F$8</f>
        <v>7.9451101001324353E-2</v>
      </c>
      <c r="H6" s="70">
        <f>H$8*G6</f>
        <v>1198.8765734590877</v>
      </c>
      <c r="I6" s="70">
        <f>I$8*G6</f>
        <v>3176.4550180329475</v>
      </c>
      <c r="J6" s="70">
        <f>J$8*G6</f>
        <v>369.16159569255342</v>
      </c>
      <c r="K6" s="70">
        <f>B6+C6+D6+E6+H6+I6+J6</f>
        <v>13233.693187184588</v>
      </c>
      <c r="L6" s="122"/>
    </row>
    <row r="7" spans="1:12" ht="16.5" x14ac:dyDescent="0.3">
      <c r="A7" s="119" t="s">
        <v>110</v>
      </c>
      <c r="B7" s="120">
        <f>C29+SUM('2016 Budget'!L49:L50)</f>
        <v>16748.600000000002</v>
      </c>
      <c r="C7" s="120"/>
      <c r="D7" s="120">
        <f>('2016 Budget'!L$22*0.1)</f>
        <v>7161.2000000000007</v>
      </c>
      <c r="E7" s="120">
        <f>SUM('2016 Budget'!L$85:L$88)*0.1</f>
        <v>578</v>
      </c>
      <c r="F7" s="120">
        <f t="shared" si="0"/>
        <v>24487.800000000003</v>
      </c>
      <c r="G7" s="121">
        <f>F7/F$8</f>
        <v>0.22918327652785075</v>
      </c>
      <c r="H7" s="120">
        <f>H$8*G7</f>
        <v>3458.2586999424502</v>
      </c>
      <c r="I7" s="120">
        <f>I$8*G7</f>
        <v>9162.7473955834739</v>
      </c>
      <c r="J7" s="120">
        <f>J$8*G7</f>
        <v>1064.8771760590057</v>
      </c>
      <c r="K7" s="120">
        <f>B7+C7+D7+E7+H7+I7+J7</f>
        <v>38173.68327158493</v>
      </c>
      <c r="L7" s="122"/>
    </row>
    <row r="8" spans="1:12" ht="16.5" x14ac:dyDescent="0.3">
      <c r="A8" s="72" t="s">
        <v>92</v>
      </c>
      <c r="B8" s="70">
        <f>SUM(B3:B7)</f>
        <v>16748.600000000002</v>
      </c>
      <c r="C8" s="70">
        <f>SUM(C3:C7)</f>
        <v>12707.510259145385</v>
      </c>
      <c r="D8" s="70">
        <f>SUM(D3:D7)</f>
        <v>71612</v>
      </c>
      <c r="E8" s="70">
        <f>SUM(E3:E7)</f>
        <v>5780</v>
      </c>
      <c r="F8" s="70">
        <f t="shared" si="0"/>
        <v>106848.11025914538</v>
      </c>
      <c r="G8" s="71">
        <f>SUM(G3:G7)</f>
        <v>1</v>
      </c>
      <c r="H8" s="70">
        <f>('2016 Budget'!L$27+(('2016 Budget'!L27/('2016 Budget'!L27+'2016 Budget'!L25))*'2016 Budget'!L29)+'2016 Budget'!L$73)</f>
        <v>15089.489740854615</v>
      </c>
      <c r="I8" s="70">
        <f>(SUM('2016 Budget'!L76:L83)-'2016 Budget'!L79)</f>
        <v>39980</v>
      </c>
      <c r="J8" s="70">
        <f>C30</f>
        <v>4646.3999999999996</v>
      </c>
      <c r="K8" s="70">
        <f>SUM(K3:K7)</f>
        <v>166564</v>
      </c>
      <c r="L8" s="125" t="s">
        <v>61</v>
      </c>
    </row>
    <row r="9" spans="1:12" ht="16.5" x14ac:dyDescent="0.3">
      <c r="A9" s="72"/>
      <c r="B9" s="70"/>
      <c r="C9" s="70"/>
      <c r="D9" s="70"/>
      <c r="E9" s="70"/>
      <c r="F9" s="66"/>
      <c r="G9" s="71"/>
      <c r="H9" s="70"/>
      <c r="I9" s="70"/>
      <c r="J9" s="70"/>
      <c r="K9" s="66"/>
      <c r="L9" s="122"/>
    </row>
    <row r="10" spans="1:12" ht="16.5" x14ac:dyDescent="0.3">
      <c r="A10" s="72"/>
      <c r="B10" s="70" t="s">
        <v>93</v>
      </c>
      <c r="C10" s="70"/>
      <c r="D10" s="70"/>
      <c r="E10" s="70"/>
      <c r="F10" s="66"/>
      <c r="G10" s="71"/>
      <c r="H10" s="70"/>
      <c r="I10" s="70"/>
      <c r="J10" s="70"/>
      <c r="K10" s="66"/>
    </row>
    <row r="11" spans="1:12" ht="16.5" x14ac:dyDescent="0.3">
      <c r="A11" s="72"/>
      <c r="B11" s="70" t="s">
        <v>94</v>
      </c>
      <c r="C11" s="70"/>
      <c r="D11" s="70"/>
      <c r="E11" s="70"/>
      <c r="F11" s="66"/>
      <c r="G11" s="71"/>
      <c r="H11" s="70"/>
      <c r="I11" s="70"/>
      <c r="J11" s="70"/>
      <c r="K11" s="66"/>
    </row>
    <row r="12" spans="1:12" ht="16.5" x14ac:dyDescent="0.3">
      <c r="A12" s="72"/>
      <c r="B12" s="70" t="s">
        <v>95</v>
      </c>
      <c r="C12" s="70"/>
      <c r="D12" s="70"/>
      <c r="E12" s="70"/>
      <c r="F12" s="66"/>
      <c r="G12" s="71"/>
      <c r="H12" s="70"/>
      <c r="I12" s="70"/>
      <c r="J12" s="70"/>
      <c r="K12" s="66"/>
    </row>
    <row r="13" spans="1:12" ht="16.5" x14ac:dyDescent="0.3">
      <c r="A13" s="72"/>
      <c r="B13" s="70" t="s">
        <v>122</v>
      </c>
      <c r="C13" s="70"/>
      <c r="D13" s="70"/>
      <c r="E13" s="70"/>
      <c r="F13" s="66"/>
      <c r="G13" s="71"/>
      <c r="H13" s="70"/>
      <c r="I13" s="70"/>
      <c r="J13" s="70"/>
      <c r="K13" s="66"/>
    </row>
    <row r="14" spans="1:12" ht="16.5" x14ac:dyDescent="0.3">
      <c r="A14" s="72"/>
      <c r="B14" s="70" t="s">
        <v>123</v>
      </c>
      <c r="C14" s="70"/>
      <c r="D14" s="70"/>
      <c r="E14" s="70"/>
      <c r="F14" s="66"/>
      <c r="G14" s="71"/>
      <c r="H14" s="70"/>
      <c r="I14" s="70"/>
      <c r="J14" s="70"/>
      <c r="K14" s="66"/>
    </row>
    <row r="15" spans="1:12" ht="16.5" x14ac:dyDescent="0.3">
      <c r="A15" s="72"/>
      <c r="B15" s="70" t="s">
        <v>125</v>
      </c>
      <c r="C15" s="70"/>
      <c r="D15" s="70"/>
      <c r="E15" s="70"/>
      <c r="F15" s="66"/>
      <c r="G15" s="71"/>
      <c r="H15" s="70"/>
      <c r="I15" s="70"/>
      <c r="J15" s="70"/>
      <c r="K15" s="66"/>
    </row>
    <row r="16" spans="1:12" ht="16.5" x14ac:dyDescent="0.3">
      <c r="A16" s="72"/>
      <c r="B16" s="70" t="s">
        <v>126</v>
      </c>
      <c r="C16" s="70"/>
      <c r="D16" s="70"/>
      <c r="E16" s="70"/>
      <c r="F16" s="66"/>
      <c r="G16" s="71"/>
      <c r="H16" s="70"/>
      <c r="I16" s="70"/>
      <c r="J16" s="70"/>
      <c r="K16" s="66"/>
    </row>
    <row r="17" spans="1:11" ht="16.5" x14ac:dyDescent="0.3">
      <c r="A17" s="72"/>
      <c r="B17" s="70" t="s">
        <v>127</v>
      </c>
      <c r="C17" s="70"/>
      <c r="D17" s="70"/>
      <c r="E17" s="70"/>
      <c r="F17" s="66"/>
      <c r="G17" s="71"/>
      <c r="H17" s="70"/>
      <c r="I17" s="70"/>
      <c r="J17" s="70"/>
      <c r="K17" s="66"/>
    </row>
    <row r="18" spans="1:11" ht="16.5" x14ac:dyDescent="0.3">
      <c r="A18" s="72"/>
      <c r="B18" s="70" t="s">
        <v>128</v>
      </c>
      <c r="C18" s="70"/>
      <c r="D18" s="70"/>
      <c r="E18" s="70"/>
      <c r="F18" s="66"/>
      <c r="G18" s="71"/>
      <c r="H18" s="70"/>
      <c r="I18" s="70"/>
      <c r="J18" s="70"/>
      <c r="K18" s="66"/>
    </row>
    <row r="19" spans="1:11" x14ac:dyDescent="0.2">
      <c r="A19" s="73"/>
      <c r="C19" s="64"/>
      <c r="D19" s="64"/>
      <c r="E19" s="64"/>
      <c r="G19" s="65"/>
      <c r="H19" s="64"/>
      <c r="I19" s="64"/>
      <c r="J19" s="64"/>
    </row>
    <row r="20" spans="1:11" x14ac:dyDescent="0.2">
      <c r="A20" s="117" t="s">
        <v>115</v>
      </c>
      <c r="B20" s="112" t="s">
        <v>96</v>
      </c>
      <c r="C20" s="116"/>
      <c r="F20" t="s">
        <v>97</v>
      </c>
    </row>
    <row r="21" spans="1:11" x14ac:dyDescent="0.2">
      <c r="A21" s="111" t="s">
        <v>114</v>
      </c>
      <c r="B21" s="65">
        <v>0.3</v>
      </c>
      <c r="F21" t="s">
        <v>98</v>
      </c>
    </row>
    <row r="22" spans="1:11" x14ac:dyDescent="0.2">
      <c r="A22" s="75" t="s">
        <v>124</v>
      </c>
      <c r="B22" s="65">
        <v>0.23</v>
      </c>
      <c r="F22" t="s">
        <v>99</v>
      </c>
    </row>
    <row r="23" spans="1:11" x14ac:dyDescent="0.2">
      <c r="A23" s="75" t="s">
        <v>116</v>
      </c>
      <c r="B23" s="65">
        <v>0.25</v>
      </c>
      <c r="F23" t="s">
        <v>100</v>
      </c>
    </row>
    <row r="24" spans="1:11" x14ac:dyDescent="0.2">
      <c r="A24" s="75" t="s">
        <v>117</v>
      </c>
      <c r="B24" s="65">
        <v>0.06</v>
      </c>
      <c r="F24" t="s">
        <v>101</v>
      </c>
    </row>
    <row r="25" spans="1:11" x14ac:dyDescent="0.2">
      <c r="A25" s="75" t="s">
        <v>119</v>
      </c>
      <c r="B25" s="65">
        <v>0.1</v>
      </c>
    </row>
    <row r="26" spans="1:11" x14ac:dyDescent="0.2">
      <c r="A26" s="113" t="s">
        <v>118</v>
      </c>
      <c r="B26" s="114">
        <v>0.06</v>
      </c>
    </row>
    <row r="27" spans="1:11" x14ac:dyDescent="0.2">
      <c r="A27" s="75" t="s">
        <v>92</v>
      </c>
      <c r="B27" s="65">
        <f>SUM(B21:B26)</f>
        <v>1</v>
      </c>
    </row>
    <row r="29" spans="1:11" x14ac:dyDescent="0.2">
      <c r="A29" s="75" t="s">
        <v>120</v>
      </c>
      <c r="B29" s="65">
        <f>B21+B22+B23</f>
        <v>0.78</v>
      </c>
      <c r="C29" s="115">
        <f>'2016 Budget'!L51*B29</f>
        <v>16473.600000000002</v>
      </c>
    </row>
    <row r="30" spans="1:11" x14ac:dyDescent="0.2">
      <c r="A30" s="74" t="s">
        <v>121</v>
      </c>
      <c r="B30" s="114">
        <f>B24+B25+B26</f>
        <v>0.22</v>
      </c>
      <c r="C30" s="118">
        <f>'2016 Budget'!L51*B30</f>
        <v>4646.3999999999996</v>
      </c>
    </row>
    <row r="31" spans="1:11" x14ac:dyDescent="0.2">
      <c r="A31" s="75" t="s">
        <v>92</v>
      </c>
      <c r="B31" s="65">
        <f>SUM(B29:B30)</f>
        <v>1</v>
      </c>
      <c r="C31" s="115">
        <f>SUM(C29:C30)</f>
        <v>21120</v>
      </c>
    </row>
  </sheetData>
  <sheetProtection selectLockedCells="1" selectUnlockedCells="1"/>
  <mergeCells count="1">
    <mergeCell ref="B1:I1"/>
  </mergeCells>
  <pageMargins left="0.78749999999999998" right="0.78749999999999998" top="1.2112499999999999" bottom="0.88749999999999996" header="0.78749999999999998" footer="0.78749999999999998"/>
  <pageSetup scale="76" firstPageNumber="0" orientation="landscape" horizontalDpi="300" verticalDpi="300" r:id="rId1"/>
  <headerFooter alignWithMargins="0">
    <oddHeader xml:space="preserve">&amp;C&amp;"Arial,Bold"NARRATIVE BUDGET CALCULATIONS
</oddHeader>
  </headerFooter>
  <ignoredErrors>
    <ignoredError sqref="B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8"/>
  <sheetViews>
    <sheetView topLeftCell="A17" zoomScaleNormal="100" workbookViewId="0">
      <selection activeCell="N30" sqref="N30"/>
    </sheetView>
  </sheetViews>
  <sheetFormatPr defaultRowHeight="14.25" x14ac:dyDescent="0.2"/>
  <cols>
    <col min="1" max="1" width="33.140625" style="1" customWidth="1"/>
    <col min="2" max="3" width="0" style="1" hidden="1" customWidth="1"/>
    <col min="4" max="4" width="13.42578125" style="1" customWidth="1"/>
    <col min="5" max="5" width="6.7109375" style="1" customWidth="1"/>
    <col min="6" max="6" width="14.7109375" style="1" customWidth="1"/>
    <col min="7" max="7" width="6.7109375" style="1" customWidth="1"/>
    <col min="8" max="11" width="0" hidden="1" customWidth="1"/>
    <col min="12" max="12" width="14.28515625" style="2" customWidth="1"/>
    <col min="13" max="13" width="7.140625" customWidth="1"/>
    <col min="14" max="16" width="17.140625" style="1" customWidth="1"/>
    <col min="17" max="20" width="14.28515625" style="2" customWidth="1"/>
  </cols>
  <sheetData>
    <row r="1" spans="1:20" ht="14.85" customHeight="1" x14ac:dyDescent="0.25">
      <c r="A1" s="3"/>
      <c r="B1" s="4">
        <v>2012</v>
      </c>
      <c r="C1" s="3"/>
      <c r="D1" s="4">
        <v>2014</v>
      </c>
      <c r="E1" s="4"/>
      <c r="F1" s="4">
        <v>2015</v>
      </c>
      <c r="G1" s="4"/>
      <c r="H1" s="5">
        <v>2014</v>
      </c>
      <c r="I1" s="5"/>
      <c r="J1" s="5">
        <v>2014</v>
      </c>
      <c r="K1" s="5"/>
      <c r="L1" s="4">
        <v>2016</v>
      </c>
      <c r="M1" s="6"/>
      <c r="N1" s="7" t="s">
        <v>0</v>
      </c>
      <c r="O1" s="7"/>
      <c r="P1" s="7"/>
      <c r="Q1" s="4"/>
      <c r="R1" s="4"/>
      <c r="S1" s="4"/>
      <c r="T1" s="4"/>
    </row>
    <row r="2" spans="1:20" ht="14.85" customHeight="1" x14ac:dyDescent="0.25">
      <c r="A2" s="8" t="s">
        <v>1</v>
      </c>
      <c r="B2" s="9" t="s">
        <v>2</v>
      </c>
      <c r="C2" s="8"/>
      <c r="D2" s="9" t="s">
        <v>2</v>
      </c>
      <c r="E2" s="9"/>
      <c r="F2" s="9" t="s">
        <v>3</v>
      </c>
      <c r="G2" s="9"/>
      <c r="H2" s="10" t="s">
        <v>4</v>
      </c>
      <c r="I2" s="10"/>
      <c r="J2" s="10" t="s">
        <v>5</v>
      </c>
      <c r="K2" s="11"/>
      <c r="L2" s="12" t="s">
        <v>6</v>
      </c>
      <c r="M2" s="13"/>
      <c r="N2" s="7" t="s">
        <v>7</v>
      </c>
      <c r="O2" s="7"/>
      <c r="P2" s="7"/>
      <c r="Q2" s="12"/>
      <c r="R2" s="12"/>
      <c r="S2" s="12"/>
      <c r="T2" s="12"/>
    </row>
    <row r="3" spans="1:20" ht="15" x14ac:dyDescent="0.25">
      <c r="A3" s="14" t="s">
        <v>8</v>
      </c>
      <c r="C3" s="15"/>
      <c r="L3" s="16"/>
      <c r="N3" s="17" t="s">
        <v>9</v>
      </c>
      <c r="O3" s="17"/>
      <c r="P3" s="17"/>
      <c r="Q3" s="16"/>
      <c r="R3" s="16"/>
      <c r="S3" s="16"/>
      <c r="T3" s="16"/>
    </row>
    <row r="4" spans="1:20" ht="15" x14ac:dyDescent="0.25">
      <c r="A4" s="8" t="s">
        <v>10</v>
      </c>
      <c r="C4" s="8"/>
      <c r="L4" s="16"/>
      <c r="Q4" s="16"/>
      <c r="R4" s="16"/>
      <c r="S4" s="16"/>
      <c r="T4" s="16"/>
    </row>
    <row r="5" spans="1:20" ht="15" x14ac:dyDescent="0.2">
      <c r="A5" s="1" t="s">
        <v>11</v>
      </c>
      <c r="B5" s="18">
        <v>33583</v>
      </c>
      <c r="D5" s="19">
        <v>35322</v>
      </c>
      <c r="E5" s="18"/>
      <c r="F5" s="21">
        <v>36497</v>
      </c>
      <c r="G5" s="18"/>
      <c r="H5" s="20">
        <f>0.75*D5</f>
        <v>26491.5</v>
      </c>
      <c r="I5" s="20"/>
      <c r="J5" s="20">
        <v>26492</v>
      </c>
      <c r="K5" s="20"/>
      <c r="L5" s="105">
        <v>36735</v>
      </c>
      <c r="N5" s="130" t="s">
        <v>12</v>
      </c>
      <c r="O5" s="22"/>
      <c r="P5" s="22"/>
      <c r="Q5" s="21"/>
      <c r="R5" s="21"/>
      <c r="S5" s="21"/>
      <c r="T5" s="21"/>
    </row>
    <row r="6" spans="1:20" ht="15" x14ac:dyDescent="0.2">
      <c r="A6" s="15" t="s">
        <v>13</v>
      </c>
      <c r="B6" s="18"/>
      <c r="C6" s="15"/>
      <c r="D6" s="19"/>
      <c r="E6" s="18"/>
      <c r="F6" s="21"/>
      <c r="G6" s="18"/>
      <c r="H6" s="20"/>
      <c r="I6" s="20"/>
      <c r="J6" s="20"/>
      <c r="K6" s="20"/>
      <c r="L6" s="105"/>
      <c r="N6" s="130"/>
      <c r="O6" s="22"/>
      <c r="P6" s="22"/>
      <c r="Q6" s="21"/>
      <c r="R6" s="21"/>
      <c r="S6" s="21"/>
      <c r="T6" s="21"/>
    </row>
    <row r="7" spans="1:20" ht="15" x14ac:dyDescent="0.2">
      <c r="A7" s="1" t="s">
        <v>14</v>
      </c>
      <c r="B7" s="18">
        <v>1500</v>
      </c>
      <c r="D7" s="19">
        <v>960</v>
      </c>
      <c r="E7" s="18"/>
      <c r="F7" s="21">
        <v>960</v>
      </c>
      <c r="G7" s="18"/>
      <c r="H7" s="20">
        <f>0.75*D7</f>
        <v>720</v>
      </c>
      <c r="I7" s="20"/>
      <c r="J7" s="20">
        <v>640</v>
      </c>
      <c r="K7" s="20"/>
      <c r="L7" s="105">
        <v>960</v>
      </c>
      <c r="N7" s="130"/>
      <c r="O7" s="22"/>
      <c r="P7" s="22"/>
      <c r="Q7" s="21"/>
      <c r="R7" s="21"/>
      <c r="S7" s="21"/>
      <c r="T7" s="21"/>
    </row>
    <row r="8" spans="1:20" ht="15" x14ac:dyDescent="0.2">
      <c r="A8" s="1" t="s">
        <v>15</v>
      </c>
      <c r="B8" s="18">
        <v>6072</v>
      </c>
      <c r="D8" s="19">
        <v>2400</v>
      </c>
      <c r="E8" s="18"/>
      <c r="F8" s="21">
        <v>2400</v>
      </c>
      <c r="G8" s="18"/>
      <c r="H8" s="20">
        <f>0.75*D8</f>
        <v>1800</v>
      </c>
      <c r="I8" s="20"/>
      <c r="J8" s="20">
        <v>1600</v>
      </c>
      <c r="K8" s="20"/>
      <c r="L8" s="105">
        <v>2400</v>
      </c>
      <c r="N8" s="130"/>
      <c r="O8" s="22"/>
      <c r="P8" s="22"/>
      <c r="Q8" s="21"/>
      <c r="R8" s="21"/>
      <c r="S8" s="21"/>
      <c r="T8" s="21"/>
    </row>
    <row r="9" spans="1:20" ht="15" x14ac:dyDescent="0.2">
      <c r="A9" s="1" t="s">
        <v>17</v>
      </c>
      <c r="B9" s="18">
        <v>4572</v>
      </c>
      <c r="D9" s="19">
        <v>5064</v>
      </c>
      <c r="E9" s="18"/>
      <c r="F9" s="21">
        <v>5556</v>
      </c>
      <c r="G9" s="18"/>
      <c r="H9" s="20">
        <f>0.75*D9</f>
        <v>3798</v>
      </c>
      <c r="I9" s="20"/>
      <c r="J9" s="20">
        <v>3376</v>
      </c>
      <c r="K9" s="20"/>
      <c r="L9" s="105">
        <v>5772</v>
      </c>
      <c r="N9" s="130"/>
      <c r="O9" s="22"/>
      <c r="P9" s="22"/>
      <c r="Q9" s="21"/>
      <c r="R9" s="21"/>
      <c r="S9" s="21"/>
      <c r="T9" s="21"/>
    </row>
    <row r="10" spans="1:20" ht="15" x14ac:dyDescent="0.2">
      <c r="A10" s="15" t="s">
        <v>18</v>
      </c>
      <c r="B10" s="23">
        <f>SUM(B7:B9)</f>
        <v>12144</v>
      </c>
      <c r="C10" s="15"/>
      <c r="D10" s="24">
        <f>SUM(D7:D9)</f>
        <v>8424</v>
      </c>
      <c r="E10" s="23"/>
      <c r="F10" s="26">
        <f>SUM(F7:F9)</f>
        <v>8916</v>
      </c>
      <c r="G10" s="23"/>
      <c r="H10" s="25">
        <f>0.75*D10</f>
        <v>6318</v>
      </c>
      <c r="I10" s="20"/>
      <c r="J10" s="25">
        <v>5616</v>
      </c>
      <c r="K10" s="20"/>
      <c r="L10" s="106">
        <f>SUM(L7:L9)</f>
        <v>9132</v>
      </c>
      <c r="N10" s="130"/>
      <c r="O10" s="22"/>
      <c r="P10" s="22"/>
      <c r="Q10" s="26"/>
      <c r="R10" s="26"/>
      <c r="S10" s="26"/>
      <c r="T10" s="26"/>
    </row>
    <row r="11" spans="1:20" ht="15.75" x14ac:dyDescent="0.25">
      <c r="A11" s="15" t="s">
        <v>19</v>
      </c>
      <c r="B11" s="27">
        <f>+B5+B10</f>
        <v>45727</v>
      </c>
      <c r="C11" s="15"/>
      <c r="D11" s="28">
        <f>+D5+D10</f>
        <v>43746</v>
      </c>
      <c r="E11" s="27"/>
      <c r="F11" s="30">
        <f>+F5+F10</f>
        <v>45413</v>
      </c>
      <c r="G11" s="27"/>
      <c r="H11" s="20">
        <f>0.75*D11</f>
        <v>32809.5</v>
      </c>
      <c r="I11" s="29"/>
      <c r="J11" s="29">
        <f>+J5+J10</f>
        <v>32108</v>
      </c>
      <c r="K11" s="29"/>
      <c r="L11" s="107">
        <f>+L5+L10</f>
        <v>45867</v>
      </c>
      <c r="N11" s="130"/>
      <c r="O11" s="22"/>
      <c r="P11" s="22"/>
      <c r="Q11" s="30"/>
      <c r="R11" s="30"/>
      <c r="S11" s="30"/>
      <c r="T11" s="30"/>
    </row>
    <row r="12" spans="1:20" ht="15" x14ac:dyDescent="0.2">
      <c r="A12" s="15" t="s">
        <v>20</v>
      </c>
      <c r="B12" s="18"/>
      <c r="C12" s="15"/>
      <c r="D12" s="19"/>
      <c r="E12" s="18"/>
      <c r="F12" s="21"/>
      <c r="G12" s="18"/>
      <c r="H12" s="20"/>
      <c r="I12" s="20"/>
      <c r="J12" s="20"/>
      <c r="K12" s="20"/>
      <c r="L12" s="105"/>
      <c r="N12" s="130"/>
      <c r="O12" s="22"/>
      <c r="P12" s="22"/>
      <c r="Q12" s="21"/>
      <c r="R12" s="21"/>
      <c r="S12" s="21"/>
      <c r="T12" s="21"/>
    </row>
    <row r="13" spans="1:20" ht="15" x14ac:dyDescent="0.2">
      <c r="A13" s="1" t="s">
        <v>21</v>
      </c>
      <c r="B13" s="18">
        <v>11195</v>
      </c>
      <c r="D13" s="19">
        <v>12300</v>
      </c>
      <c r="E13" s="18"/>
      <c r="F13" s="21">
        <v>13476</v>
      </c>
      <c r="G13" s="18"/>
      <c r="H13" s="20">
        <f>0.75*D13</f>
        <v>9225</v>
      </c>
      <c r="I13" s="20"/>
      <c r="J13" s="20">
        <v>8200</v>
      </c>
      <c r="K13" s="20"/>
      <c r="L13" s="105">
        <v>14016</v>
      </c>
      <c r="N13" s="130"/>
      <c r="O13" s="22"/>
      <c r="P13" s="22"/>
      <c r="Q13" s="21"/>
      <c r="R13" s="21"/>
      <c r="S13" s="21"/>
      <c r="T13" s="21"/>
    </row>
    <row r="14" spans="1:20" ht="15" x14ac:dyDescent="0.2">
      <c r="A14" s="1" t="s">
        <v>22</v>
      </c>
      <c r="B14" s="18">
        <v>8358</v>
      </c>
      <c r="D14" s="19">
        <v>7929</v>
      </c>
      <c r="E14" s="18"/>
      <c r="F14" s="21">
        <v>7039.01</v>
      </c>
      <c r="G14" s="18"/>
      <c r="H14" s="20">
        <f>0.75*D14</f>
        <v>5946.75</v>
      </c>
      <c r="I14" s="20"/>
      <c r="J14" s="20">
        <v>5286</v>
      </c>
      <c r="K14" s="20"/>
      <c r="L14" s="105">
        <v>7109</v>
      </c>
      <c r="N14" s="130"/>
      <c r="O14" s="22"/>
      <c r="P14" s="22"/>
      <c r="Q14" s="21"/>
      <c r="R14" s="21"/>
      <c r="S14" s="21"/>
      <c r="T14" s="21"/>
    </row>
    <row r="15" spans="1:20" ht="15" x14ac:dyDescent="0.2">
      <c r="A15" s="1" t="s">
        <v>23</v>
      </c>
      <c r="B15" s="23">
        <v>1683</v>
      </c>
      <c r="D15" s="24">
        <v>1640.5216399999999</v>
      </c>
      <c r="E15" s="23"/>
      <c r="F15" s="26">
        <v>1702.99</v>
      </c>
      <c r="G15" s="23"/>
      <c r="H15" s="25">
        <f>0.75*D15</f>
        <v>1230.39123</v>
      </c>
      <c r="I15" s="25"/>
      <c r="J15" s="25">
        <v>1094</v>
      </c>
      <c r="K15" s="25"/>
      <c r="L15" s="106">
        <v>1720</v>
      </c>
      <c r="N15" s="130"/>
      <c r="O15" s="22"/>
      <c r="P15" s="22"/>
      <c r="Q15" s="26"/>
      <c r="R15" s="26"/>
      <c r="S15" s="26"/>
      <c r="T15" s="26"/>
    </row>
    <row r="16" spans="1:20" ht="15" x14ac:dyDescent="0.2">
      <c r="A16" s="15" t="s">
        <v>24</v>
      </c>
      <c r="B16" s="18">
        <f>SUM(B13:B15)</f>
        <v>21236</v>
      </c>
      <c r="C16" s="15"/>
      <c r="D16" s="19">
        <f>SUM(D13:D15)</f>
        <v>21869.521639999999</v>
      </c>
      <c r="E16" s="18"/>
      <c r="F16" s="21">
        <f>SUM(F13:F15)</f>
        <v>22218.000000000004</v>
      </c>
      <c r="G16" s="18"/>
      <c r="H16" s="20">
        <f>0.75*D16</f>
        <v>16402.141230000001</v>
      </c>
      <c r="I16" s="20"/>
      <c r="J16" s="20">
        <f>SUM(J13:J15)</f>
        <v>14580</v>
      </c>
      <c r="K16" s="20"/>
      <c r="L16" s="105">
        <f>SUM(L13:L15)</f>
        <v>22845</v>
      </c>
      <c r="N16" s="130"/>
      <c r="O16" s="22"/>
      <c r="P16" s="22"/>
      <c r="Q16" s="21"/>
      <c r="R16" s="21"/>
      <c r="S16" s="21"/>
      <c r="T16" s="21"/>
    </row>
    <row r="17" spans="1:20" ht="15" x14ac:dyDescent="0.2">
      <c r="A17" s="15" t="s">
        <v>25</v>
      </c>
      <c r="B17" s="18"/>
      <c r="C17" s="15"/>
      <c r="D17" s="19"/>
      <c r="E17" s="18"/>
      <c r="F17" s="16"/>
      <c r="G17" s="18"/>
      <c r="H17" s="20"/>
      <c r="I17" s="20"/>
      <c r="J17" s="20"/>
      <c r="K17" s="20"/>
      <c r="L17" s="105"/>
      <c r="N17" s="130"/>
      <c r="O17" s="22"/>
      <c r="P17" s="22"/>
      <c r="Q17" s="16"/>
      <c r="R17" s="16"/>
      <c r="S17" s="16"/>
      <c r="T17" s="16"/>
    </row>
    <row r="18" spans="1:20" ht="15" x14ac:dyDescent="0.2">
      <c r="A18" s="1" t="s">
        <v>26</v>
      </c>
      <c r="B18" s="18">
        <v>100</v>
      </c>
      <c r="D18" s="19">
        <v>122.7</v>
      </c>
      <c r="E18" s="18"/>
      <c r="F18" s="16">
        <v>100</v>
      </c>
      <c r="G18" s="18"/>
      <c r="H18" s="20">
        <f>0.75*D18</f>
        <v>92.025000000000006</v>
      </c>
      <c r="I18" s="20"/>
      <c r="J18" s="20">
        <v>73</v>
      </c>
      <c r="K18" s="20"/>
      <c r="L18" s="105">
        <v>100</v>
      </c>
      <c r="N18" s="130"/>
      <c r="O18" s="22"/>
      <c r="P18" s="22"/>
      <c r="Q18" s="16"/>
      <c r="R18" s="16"/>
      <c r="S18" s="16"/>
      <c r="T18" s="16"/>
    </row>
    <row r="19" spans="1:20" ht="15" x14ac:dyDescent="0.2">
      <c r="A19" s="1" t="s">
        <v>27</v>
      </c>
      <c r="B19" s="18">
        <v>0</v>
      </c>
      <c r="D19" s="19">
        <v>0</v>
      </c>
      <c r="E19" s="18"/>
      <c r="F19" s="16">
        <v>800</v>
      </c>
      <c r="G19" s="18"/>
      <c r="H19" s="20">
        <f>0.75*D19</f>
        <v>0</v>
      </c>
      <c r="I19" s="20"/>
      <c r="J19" s="20">
        <v>0</v>
      </c>
      <c r="K19" s="20"/>
      <c r="L19" s="105">
        <v>800</v>
      </c>
      <c r="N19" s="130"/>
      <c r="O19" s="22"/>
      <c r="P19" s="22"/>
      <c r="Q19" s="16"/>
      <c r="R19" s="16"/>
      <c r="S19" s="16"/>
      <c r="T19" s="16"/>
    </row>
    <row r="20" spans="1:20" ht="15" x14ac:dyDescent="0.2">
      <c r="A20" s="1" t="s">
        <v>28</v>
      </c>
      <c r="B20" s="23">
        <v>287</v>
      </c>
      <c r="D20" s="24">
        <v>0</v>
      </c>
      <c r="E20" s="23"/>
      <c r="F20" s="31">
        <v>2000</v>
      </c>
      <c r="G20" s="23"/>
      <c r="H20" s="20">
        <f>0.75*D20</f>
        <v>0</v>
      </c>
      <c r="I20" s="25"/>
      <c r="J20" s="25">
        <v>0</v>
      </c>
      <c r="K20" s="25"/>
      <c r="L20" s="106">
        <v>2000</v>
      </c>
      <c r="N20" s="130"/>
      <c r="O20" s="22"/>
      <c r="P20" s="22"/>
      <c r="Q20" s="31"/>
      <c r="R20" s="31"/>
      <c r="S20" s="31"/>
      <c r="T20" s="31"/>
    </row>
    <row r="21" spans="1:20" ht="15" x14ac:dyDescent="0.2">
      <c r="A21" s="15" t="s">
        <v>29</v>
      </c>
      <c r="B21" s="18">
        <f>SUM(B18:B20)</f>
        <v>387</v>
      </c>
      <c r="C21" s="15"/>
      <c r="D21" s="19">
        <f>SUM(D18:D20)</f>
        <v>122.7</v>
      </c>
      <c r="E21" s="18"/>
      <c r="F21" s="16">
        <f>SUM(F18:F20)</f>
        <v>2900</v>
      </c>
      <c r="G21" s="18"/>
      <c r="H21" s="20">
        <f>0.75*D21</f>
        <v>92.025000000000006</v>
      </c>
      <c r="I21" s="20"/>
      <c r="J21" s="20">
        <f>SUM(J18:J20)</f>
        <v>73</v>
      </c>
      <c r="K21" s="20"/>
      <c r="L21" s="105">
        <f>SUM(L18:L20)</f>
        <v>2900</v>
      </c>
      <c r="N21" s="130"/>
      <c r="O21" s="22"/>
      <c r="P21" s="22"/>
      <c r="Q21" s="16"/>
      <c r="R21" s="16"/>
      <c r="S21" s="16"/>
      <c r="T21" s="16"/>
    </row>
    <row r="22" spans="1:20" ht="15.75" x14ac:dyDescent="0.25">
      <c r="A22" s="8" t="s">
        <v>30</v>
      </c>
      <c r="B22" s="27">
        <f>+B11+B16+B21</f>
        <v>67350</v>
      </c>
      <c r="C22" s="8"/>
      <c r="D22" s="28">
        <f>+D11+D16+D21</f>
        <v>65738.221639999989</v>
      </c>
      <c r="E22" s="27"/>
      <c r="F22" s="32">
        <f>+F11+F16+F21</f>
        <v>70531</v>
      </c>
      <c r="G22" s="27"/>
      <c r="H22" s="20">
        <f>0.75*D22</f>
        <v>49303.666229999988</v>
      </c>
      <c r="I22" s="29"/>
      <c r="J22" s="29">
        <f>+J11+J16+J21</f>
        <v>46761</v>
      </c>
      <c r="K22" s="29"/>
      <c r="L22" s="107">
        <f>+L11+L16+L21</f>
        <v>71612</v>
      </c>
      <c r="N22" s="130"/>
      <c r="O22" s="22"/>
      <c r="P22" s="22"/>
      <c r="Q22" s="32"/>
      <c r="R22" s="32"/>
      <c r="S22" s="32"/>
      <c r="T22" s="32"/>
    </row>
    <row r="23" spans="1:20" ht="15.75" x14ac:dyDescent="0.25">
      <c r="A23" s="8"/>
      <c r="B23" s="27"/>
      <c r="C23" s="8"/>
      <c r="D23" s="28"/>
      <c r="E23" s="27"/>
      <c r="F23" s="32"/>
      <c r="G23" s="27"/>
      <c r="H23" s="20"/>
      <c r="I23" s="29"/>
      <c r="J23" s="29"/>
      <c r="K23" s="29"/>
      <c r="L23" s="107"/>
      <c r="Q23" s="32"/>
      <c r="R23" s="32"/>
      <c r="S23" s="32"/>
      <c r="T23" s="32"/>
    </row>
    <row r="24" spans="1:20" ht="15" x14ac:dyDescent="0.2">
      <c r="A24" s="1" t="s">
        <v>31</v>
      </c>
      <c r="B24" s="18">
        <v>100</v>
      </c>
      <c r="D24" s="33">
        <v>200</v>
      </c>
      <c r="E24" s="34"/>
      <c r="F24" s="36">
        <v>400</v>
      </c>
      <c r="G24" s="34"/>
      <c r="H24" s="20">
        <f t="shared" ref="H24:H30" si="0">0.75*D24</f>
        <v>150</v>
      </c>
      <c r="I24" s="35"/>
      <c r="J24" s="35">
        <v>100</v>
      </c>
      <c r="K24" s="35"/>
      <c r="L24" s="108">
        <v>200</v>
      </c>
      <c r="N24" s="37" t="s">
        <v>32</v>
      </c>
      <c r="O24" s="38"/>
      <c r="P24" s="38"/>
      <c r="Q24" s="36"/>
      <c r="R24" s="36"/>
      <c r="S24" s="36"/>
      <c r="T24" s="36"/>
    </row>
    <row r="25" spans="1:20" ht="15" x14ac:dyDescent="0.2">
      <c r="A25" s="1" t="s">
        <v>33</v>
      </c>
      <c r="B25" s="18">
        <v>6623</v>
      </c>
      <c r="D25" s="33">
        <v>6829.22</v>
      </c>
      <c r="E25" s="34"/>
      <c r="F25" s="36">
        <v>7043</v>
      </c>
      <c r="G25" s="34"/>
      <c r="H25" s="20">
        <f t="shared" si="0"/>
        <v>5121.915</v>
      </c>
      <c r="I25" s="35"/>
      <c r="J25" s="35">
        <v>5122</v>
      </c>
      <c r="K25" s="35"/>
      <c r="L25" s="108">
        <v>7113</v>
      </c>
      <c r="N25" s="37" t="s">
        <v>32</v>
      </c>
      <c r="O25" s="38"/>
      <c r="P25" s="38"/>
      <c r="Q25" s="36"/>
      <c r="R25" s="36"/>
      <c r="S25" s="36"/>
      <c r="T25" s="36"/>
    </row>
    <row r="26" spans="1:20" ht="15" x14ac:dyDescent="0.2">
      <c r="A26" s="1" t="s">
        <v>34</v>
      </c>
      <c r="B26" s="18">
        <v>0</v>
      </c>
      <c r="D26" s="33">
        <v>0</v>
      </c>
      <c r="E26" s="34"/>
      <c r="F26" s="36">
        <v>240</v>
      </c>
      <c r="G26" s="34"/>
      <c r="H26" s="20">
        <f t="shared" si="0"/>
        <v>0</v>
      </c>
      <c r="I26" s="35"/>
      <c r="J26" s="35">
        <v>0</v>
      </c>
      <c r="K26" s="35"/>
      <c r="L26" s="108">
        <v>0</v>
      </c>
      <c r="N26" s="37" t="s">
        <v>32</v>
      </c>
      <c r="O26" s="38"/>
      <c r="P26" s="38"/>
      <c r="Q26" s="36"/>
      <c r="R26" s="36"/>
      <c r="S26" s="36"/>
      <c r="T26" s="36"/>
    </row>
    <row r="27" spans="1:20" ht="15" x14ac:dyDescent="0.2">
      <c r="A27" s="1" t="s">
        <v>36</v>
      </c>
      <c r="B27" s="18">
        <v>7019</v>
      </c>
      <c r="D27" s="33">
        <v>9857</v>
      </c>
      <c r="E27" s="34"/>
      <c r="F27" s="36">
        <f>52*16*10.5</f>
        <v>8736</v>
      </c>
      <c r="G27" s="34"/>
      <c r="H27" s="20">
        <f t="shared" si="0"/>
        <v>7392.75</v>
      </c>
      <c r="I27" s="35"/>
      <c r="J27" s="35">
        <v>6812</v>
      </c>
      <c r="K27" s="35"/>
      <c r="L27" s="108">
        <v>8824</v>
      </c>
      <c r="N27" s="37" t="s">
        <v>37</v>
      </c>
      <c r="O27" s="38"/>
      <c r="P27" s="38"/>
      <c r="Q27" s="36"/>
      <c r="R27" s="36"/>
      <c r="S27" s="36"/>
      <c r="T27" s="36"/>
    </row>
    <row r="28" spans="1:20" ht="15" x14ac:dyDescent="0.2">
      <c r="A28" s="1" t="s">
        <v>113</v>
      </c>
      <c r="B28" s="18"/>
      <c r="D28" s="110" t="s">
        <v>112</v>
      </c>
      <c r="E28" s="34"/>
      <c r="F28" s="110" t="s">
        <v>112</v>
      </c>
      <c r="G28" s="34"/>
      <c r="H28" s="20"/>
      <c r="I28" s="35"/>
      <c r="J28" s="35"/>
      <c r="K28" s="35"/>
      <c r="L28" s="108">
        <v>600</v>
      </c>
      <c r="N28" s="37" t="s">
        <v>129</v>
      </c>
      <c r="O28" s="38"/>
      <c r="P28" s="38"/>
      <c r="Q28" s="36"/>
      <c r="R28" s="36"/>
      <c r="S28" s="36"/>
      <c r="T28" s="36"/>
    </row>
    <row r="29" spans="1:20" ht="15" x14ac:dyDescent="0.2">
      <c r="A29" s="1" t="s">
        <v>39</v>
      </c>
      <c r="B29" s="23">
        <v>1147</v>
      </c>
      <c r="D29" s="39">
        <v>1163.46</v>
      </c>
      <c r="E29" s="40"/>
      <c r="F29" s="42">
        <v>1208</v>
      </c>
      <c r="G29" s="40"/>
      <c r="H29" s="25">
        <f t="shared" si="0"/>
        <v>872.59500000000003</v>
      </c>
      <c r="I29" s="41"/>
      <c r="J29" s="41">
        <v>401</v>
      </c>
      <c r="K29" s="41"/>
      <c r="L29" s="109">
        <v>1220</v>
      </c>
      <c r="N29" s="37" t="s">
        <v>37</v>
      </c>
      <c r="O29" s="38"/>
      <c r="P29" s="38"/>
      <c r="Q29" s="42"/>
      <c r="R29" s="42"/>
      <c r="S29" s="42"/>
      <c r="T29" s="42"/>
    </row>
    <row r="30" spans="1:20" ht="15" x14ac:dyDescent="0.2">
      <c r="A30" s="1" t="s">
        <v>40</v>
      </c>
      <c r="B30" s="18">
        <f>SUM(B22:B29)</f>
        <v>82239</v>
      </c>
      <c r="D30" s="33">
        <f>SUM(D22:D29)</f>
        <v>83787.901639999996</v>
      </c>
      <c r="E30" s="34"/>
      <c r="F30" s="36">
        <f>SUM(F22:F29)</f>
        <v>88158</v>
      </c>
      <c r="G30" s="34"/>
      <c r="H30" s="20">
        <f t="shared" si="0"/>
        <v>62840.926229999997</v>
      </c>
      <c r="I30" s="35"/>
      <c r="J30" s="35">
        <f>SUM(J22:J29)</f>
        <v>59196</v>
      </c>
      <c r="K30" s="35"/>
      <c r="L30" s="108">
        <f>SUM(L22:L29)</f>
        <v>89569</v>
      </c>
      <c r="Q30" s="36"/>
      <c r="R30" s="36"/>
      <c r="S30" s="36"/>
      <c r="T30" s="36"/>
    </row>
    <row r="31" spans="1:20" ht="15" x14ac:dyDescent="0.2">
      <c r="B31" s="18"/>
      <c r="D31" s="33"/>
      <c r="E31" s="34"/>
      <c r="F31" s="36"/>
      <c r="G31" s="34"/>
      <c r="H31" s="20"/>
      <c r="I31" s="35"/>
      <c r="J31" s="35"/>
      <c r="K31" s="35"/>
      <c r="L31" s="108"/>
      <c r="Q31" s="36"/>
      <c r="R31" s="36"/>
      <c r="S31" s="36"/>
      <c r="T31" s="36"/>
    </row>
    <row r="32" spans="1:20" ht="15" x14ac:dyDescent="0.2">
      <c r="B32" s="18"/>
      <c r="D32" s="33"/>
      <c r="E32" s="34"/>
      <c r="F32" s="36"/>
      <c r="G32" s="34"/>
      <c r="H32" s="20"/>
      <c r="I32" s="35"/>
      <c r="J32" s="35"/>
      <c r="K32" s="35"/>
      <c r="L32" s="108"/>
      <c r="Q32" s="36"/>
      <c r="R32" s="36"/>
      <c r="S32" s="36"/>
      <c r="T32" s="36"/>
    </row>
    <row r="33" spans="1:20" ht="15" x14ac:dyDescent="0.2">
      <c r="B33" s="18"/>
      <c r="D33" s="33"/>
      <c r="E33" s="34"/>
      <c r="F33" s="36"/>
      <c r="G33" s="34"/>
      <c r="H33" s="20"/>
      <c r="I33" s="35"/>
      <c r="J33" s="35"/>
      <c r="K33" s="35"/>
      <c r="L33" s="108"/>
      <c r="Q33" s="36"/>
      <c r="R33" s="36"/>
      <c r="S33" s="36"/>
      <c r="T33" s="36"/>
    </row>
    <row r="34" spans="1:20" x14ac:dyDescent="0.2">
      <c r="A34" s="14" t="s">
        <v>32</v>
      </c>
      <c r="B34" s="18"/>
      <c r="C34" s="15"/>
      <c r="D34" s="43"/>
      <c r="F34" s="16"/>
      <c r="I34" s="35"/>
      <c r="J34" s="35"/>
      <c r="K34" s="35"/>
      <c r="L34" s="16"/>
      <c r="Q34" s="16"/>
      <c r="R34" s="16"/>
      <c r="S34" s="16"/>
      <c r="T34" s="16"/>
    </row>
    <row r="35" spans="1:20" x14ac:dyDescent="0.2">
      <c r="A35" s="1" t="s">
        <v>32</v>
      </c>
      <c r="B35" s="18"/>
      <c r="C35" s="15"/>
      <c r="D35" s="33">
        <v>42</v>
      </c>
      <c r="F35" s="36">
        <v>1200</v>
      </c>
      <c r="I35" s="35"/>
      <c r="J35" s="35"/>
      <c r="K35" s="35"/>
      <c r="L35" s="36">
        <v>0</v>
      </c>
      <c r="N35" s="130" t="s">
        <v>32</v>
      </c>
      <c r="O35" s="22"/>
      <c r="P35" s="22"/>
      <c r="Q35" s="36"/>
      <c r="R35" s="36"/>
      <c r="S35" s="36"/>
      <c r="T35" s="36"/>
    </row>
    <row r="36" spans="1:20" x14ac:dyDescent="0.2">
      <c r="A36" s="1" t="s">
        <v>41</v>
      </c>
      <c r="B36" s="18">
        <v>0</v>
      </c>
      <c r="D36" s="33">
        <v>0</v>
      </c>
      <c r="E36" s="34"/>
      <c r="F36" s="36">
        <v>100</v>
      </c>
      <c r="G36" s="34"/>
      <c r="H36" s="20">
        <f>0.75*D36</f>
        <v>0</v>
      </c>
      <c r="I36" s="35"/>
      <c r="J36" s="35">
        <v>0</v>
      </c>
      <c r="K36" s="35"/>
      <c r="L36" s="36">
        <v>0</v>
      </c>
      <c r="N36" s="130"/>
      <c r="O36" s="22"/>
      <c r="P36" s="22"/>
      <c r="Q36" s="36"/>
      <c r="R36" s="36"/>
      <c r="S36" s="36"/>
      <c r="T36" s="36"/>
    </row>
    <row r="37" spans="1:20" x14ac:dyDescent="0.2">
      <c r="A37" s="1" t="s">
        <v>42</v>
      </c>
      <c r="B37" s="23">
        <v>642</v>
      </c>
      <c r="D37" s="39">
        <v>1045.52</v>
      </c>
      <c r="E37" s="40"/>
      <c r="F37" s="42">
        <v>500</v>
      </c>
      <c r="G37" s="40"/>
      <c r="H37" s="25">
        <f>0.75*D37</f>
        <v>784.14</v>
      </c>
      <c r="I37" s="41"/>
      <c r="J37" s="41">
        <v>777</v>
      </c>
      <c r="K37" s="41"/>
      <c r="L37" s="42">
        <v>1000</v>
      </c>
      <c r="N37" s="130"/>
      <c r="O37" s="22"/>
      <c r="P37" s="22"/>
      <c r="Q37" s="42"/>
      <c r="R37" s="42"/>
      <c r="S37" s="42"/>
      <c r="T37" s="42"/>
    </row>
    <row r="38" spans="1:20" x14ac:dyDescent="0.2">
      <c r="A38" s="1" t="s">
        <v>40</v>
      </c>
      <c r="B38" s="18">
        <f>SUM(B36:B37)</f>
        <v>642</v>
      </c>
      <c r="D38" s="33">
        <f>SUM(D35:D37)</f>
        <v>1087.52</v>
      </c>
      <c r="E38" s="34"/>
      <c r="F38" s="36">
        <f>SUM(F35:F37)</f>
        <v>1800</v>
      </c>
      <c r="G38" s="34"/>
      <c r="H38" s="20">
        <f>0.75*D38</f>
        <v>815.64</v>
      </c>
      <c r="I38" s="35"/>
      <c r="J38" s="35">
        <f>SUM(J36:J37)</f>
        <v>777</v>
      </c>
      <c r="K38" s="35"/>
      <c r="L38" s="36">
        <f>SUM(L35:L37)</f>
        <v>1000</v>
      </c>
      <c r="N38" s="130"/>
      <c r="O38" s="22"/>
      <c r="P38" s="22"/>
      <c r="Q38" s="36"/>
      <c r="R38" s="36"/>
      <c r="S38" s="36"/>
      <c r="T38" s="36"/>
    </row>
    <row r="39" spans="1:20" x14ac:dyDescent="0.2">
      <c r="B39" s="18"/>
      <c r="D39" s="43"/>
      <c r="F39" s="16"/>
      <c r="I39" s="35"/>
      <c r="J39" s="35"/>
      <c r="K39" s="35"/>
      <c r="L39" s="16"/>
      <c r="Q39" s="16"/>
      <c r="R39" s="16"/>
      <c r="S39" s="16"/>
      <c r="T39" s="16"/>
    </row>
    <row r="40" spans="1:20" x14ac:dyDescent="0.2">
      <c r="A40" s="14" t="s">
        <v>43</v>
      </c>
      <c r="B40" s="18"/>
      <c r="C40" s="15"/>
      <c r="D40" s="43"/>
      <c r="F40" s="16"/>
      <c r="I40" s="35"/>
      <c r="J40" s="35"/>
      <c r="K40" s="35"/>
      <c r="L40" s="16"/>
      <c r="Q40" s="16"/>
      <c r="R40" s="16"/>
      <c r="S40" s="16"/>
      <c r="T40" s="16"/>
    </row>
    <row r="41" spans="1:20" ht="14.25" customHeight="1" x14ac:dyDescent="0.2">
      <c r="A41" s="1" t="s">
        <v>44</v>
      </c>
      <c r="B41" s="18">
        <v>427</v>
      </c>
      <c r="D41" s="33">
        <v>242.51</v>
      </c>
      <c r="E41" s="34"/>
      <c r="F41" s="44">
        <v>1200</v>
      </c>
      <c r="G41" s="34"/>
      <c r="H41" s="20">
        <f t="shared" ref="H41:H46" si="1">0.75*D41</f>
        <v>181.88249999999999</v>
      </c>
      <c r="I41" s="35"/>
      <c r="J41" s="35">
        <v>1066</v>
      </c>
      <c r="K41" s="35"/>
      <c r="L41" s="44">
        <v>800</v>
      </c>
      <c r="N41" s="131" t="s">
        <v>45</v>
      </c>
      <c r="O41" s="45"/>
      <c r="P41" s="45"/>
      <c r="Q41" s="44">
        <v>242.51</v>
      </c>
      <c r="R41" s="44"/>
      <c r="S41" s="44"/>
      <c r="T41" s="44">
        <f>SUM(Q41:S41)</f>
        <v>242.51</v>
      </c>
    </row>
    <row r="42" spans="1:20" x14ac:dyDescent="0.2">
      <c r="A42" s="1" t="s">
        <v>46</v>
      </c>
      <c r="B42" s="18">
        <v>660</v>
      </c>
      <c r="D42" s="33">
        <v>566.79999999999995</v>
      </c>
      <c r="E42" s="34"/>
      <c r="F42" s="44">
        <v>500</v>
      </c>
      <c r="G42" s="34"/>
      <c r="H42" s="20">
        <f t="shared" si="1"/>
        <v>425.09999999999997</v>
      </c>
      <c r="I42" s="35"/>
      <c r="J42" s="35">
        <v>578</v>
      </c>
      <c r="K42" s="35"/>
      <c r="L42" s="44">
        <v>500</v>
      </c>
      <c r="N42" s="131"/>
      <c r="O42" s="45"/>
      <c r="P42" s="45"/>
      <c r="Q42" s="44">
        <v>566.79999999999995</v>
      </c>
      <c r="R42" s="44"/>
      <c r="S42" s="44"/>
      <c r="T42" s="44">
        <f>SUM(Q42:S42)</f>
        <v>566.79999999999995</v>
      </c>
    </row>
    <row r="43" spans="1:20" x14ac:dyDescent="0.2">
      <c r="A43" s="1" t="s">
        <v>47</v>
      </c>
      <c r="B43" s="18">
        <v>255</v>
      </c>
      <c r="D43" s="33">
        <v>708.06</v>
      </c>
      <c r="E43" s="34"/>
      <c r="F43" s="44">
        <v>200</v>
      </c>
      <c r="G43" s="34"/>
      <c r="H43" s="20">
        <f t="shared" si="1"/>
        <v>531.04499999999996</v>
      </c>
      <c r="I43" s="35"/>
      <c r="J43" s="35">
        <v>263</v>
      </c>
      <c r="K43" s="35"/>
      <c r="L43" s="44">
        <v>200</v>
      </c>
      <c r="N43" s="131"/>
      <c r="O43" s="45"/>
      <c r="P43" s="45"/>
      <c r="Q43" s="44">
        <v>708.06</v>
      </c>
      <c r="R43" s="44"/>
      <c r="S43" s="44"/>
      <c r="T43" s="44">
        <f>SUM(Q43:S43)</f>
        <v>708.06</v>
      </c>
    </row>
    <row r="44" spans="1:20" x14ac:dyDescent="0.2">
      <c r="A44" s="1" t="s">
        <v>48</v>
      </c>
      <c r="B44" s="18">
        <v>124</v>
      </c>
      <c r="D44" s="33">
        <v>434.22</v>
      </c>
      <c r="E44" s="34"/>
      <c r="F44" s="44">
        <v>200</v>
      </c>
      <c r="G44" s="34"/>
      <c r="H44" s="20">
        <f t="shared" si="1"/>
        <v>325.66500000000002</v>
      </c>
      <c r="I44" s="35"/>
      <c r="J44" s="35">
        <v>144</v>
      </c>
      <c r="K44" s="35"/>
      <c r="L44" s="44">
        <v>200</v>
      </c>
      <c r="N44" s="131"/>
      <c r="O44" s="45"/>
      <c r="P44" s="45"/>
      <c r="Q44" s="44">
        <v>380.26</v>
      </c>
      <c r="R44" s="44">
        <v>53.96</v>
      </c>
      <c r="S44" s="44"/>
      <c r="T44" s="44">
        <f>SUM(Q44:S44)</f>
        <v>434.21999999999997</v>
      </c>
    </row>
    <row r="45" spans="1:20" x14ac:dyDescent="0.2">
      <c r="A45" s="1" t="s">
        <v>49</v>
      </c>
      <c r="B45" s="18">
        <v>257</v>
      </c>
      <c r="D45" s="39">
        <v>1114.3599999999999</v>
      </c>
      <c r="E45" s="34"/>
      <c r="F45" s="46">
        <v>340</v>
      </c>
      <c r="G45" s="34"/>
      <c r="H45" s="25">
        <f t="shared" si="1"/>
        <v>835.77</v>
      </c>
      <c r="I45" s="35"/>
      <c r="J45" s="41">
        <v>260</v>
      </c>
      <c r="K45" s="35"/>
      <c r="L45" s="46">
        <v>300</v>
      </c>
      <c r="N45" s="131"/>
      <c r="O45" s="45"/>
      <c r="P45" s="45"/>
      <c r="Q45" s="46">
        <v>260</v>
      </c>
      <c r="R45" s="46">
        <v>840.36</v>
      </c>
      <c r="S45" s="46">
        <v>14</v>
      </c>
      <c r="T45" s="46">
        <f>SUM(Q45:S45)</f>
        <v>1114.3600000000001</v>
      </c>
    </row>
    <row r="46" spans="1:20" x14ac:dyDescent="0.2">
      <c r="A46" s="1" t="s">
        <v>40</v>
      </c>
      <c r="B46" s="18">
        <f>SUM(B41:B45)</f>
        <v>1723</v>
      </c>
      <c r="D46" s="33">
        <f>SUM(D41:D45)</f>
        <v>3065.95</v>
      </c>
      <c r="E46" s="34"/>
      <c r="F46" s="44">
        <f>SUM(F41:F45)</f>
        <v>2440</v>
      </c>
      <c r="G46" s="34"/>
      <c r="H46" s="20">
        <f t="shared" si="1"/>
        <v>2299.4624999999996</v>
      </c>
      <c r="I46" s="35"/>
      <c r="J46" s="35">
        <f>SUM(J41:J45)</f>
        <v>2311</v>
      </c>
      <c r="K46" s="35"/>
      <c r="L46" s="44">
        <f>SUM(L41:L45)</f>
        <v>2000</v>
      </c>
      <c r="N46" s="131"/>
      <c r="O46" s="45"/>
      <c r="P46" s="45"/>
      <c r="Q46" s="44"/>
      <c r="R46" s="44"/>
      <c r="S46" s="44"/>
      <c r="T46" s="44">
        <f>SUM(T41:T45)</f>
        <v>3065.95</v>
      </c>
    </row>
    <row r="47" spans="1:20" x14ac:dyDescent="0.2">
      <c r="B47" s="18"/>
      <c r="D47" s="43"/>
      <c r="F47" s="16"/>
      <c r="I47" s="35"/>
      <c r="J47" s="35"/>
      <c r="K47" s="35"/>
      <c r="L47" s="16"/>
      <c r="Q47" s="16"/>
      <c r="R47" s="16"/>
      <c r="S47" s="16"/>
      <c r="T47" s="16"/>
    </row>
    <row r="48" spans="1:20" x14ac:dyDescent="0.2">
      <c r="A48" s="14" t="s">
        <v>50</v>
      </c>
      <c r="B48" s="18"/>
      <c r="C48" s="15"/>
      <c r="D48" s="43"/>
      <c r="F48" s="16"/>
      <c r="I48" s="35"/>
      <c r="J48" s="35"/>
      <c r="K48" s="35"/>
      <c r="L48" s="16"/>
      <c r="Q48" s="16"/>
      <c r="R48" s="16"/>
      <c r="S48" s="16"/>
      <c r="T48" s="16"/>
    </row>
    <row r="49" spans="1:20" x14ac:dyDescent="0.2">
      <c r="A49" s="1" t="s">
        <v>51</v>
      </c>
      <c r="B49" s="18">
        <v>0</v>
      </c>
      <c r="D49" s="33">
        <v>16.77</v>
      </c>
      <c r="E49" s="34"/>
      <c r="F49" s="16">
        <v>0</v>
      </c>
      <c r="G49" s="34"/>
      <c r="H49" s="20">
        <f>0.75*D49</f>
        <v>12.577500000000001</v>
      </c>
      <c r="I49" s="35"/>
      <c r="J49" s="35">
        <v>17</v>
      </c>
      <c r="K49" s="35"/>
      <c r="L49" s="16">
        <v>100</v>
      </c>
      <c r="N49" s="47"/>
      <c r="O49" s="48"/>
      <c r="P49" s="48"/>
      <c r="Q49" s="16">
        <v>16.77</v>
      </c>
      <c r="R49" s="16"/>
      <c r="S49" s="16"/>
      <c r="T49" s="16"/>
    </row>
    <row r="50" spans="1:20" x14ac:dyDescent="0.2">
      <c r="A50" s="1" t="s">
        <v>111</v>
      </c>
      <c r="B50" s="18"/>
      <c r="D50" s="110" t="s">
        <v>112</v>
      </c>
      <c r="E50" s="34"/>
      <c r="F50" s="110" t="s">
        <v>112</v>
      </c>
      <c r="G50" s="34"/>
      <c r="H50" s="20"/>
      <c r="I50" s="35"/>
      <c r="J50" s="35"/>
      <c r="K50" s="35"/>
      <c r="L50" s="16">
        <v>175</v>
      </c>
      <c r="N50" s="47"/>
      <c r="O50" s="48"/>
      <c r="P50" s="48"/>
      <c r="Q50" s="16"/>
      <c r="R50" s="16"/>
      <c r="S50" s="16"/>
      <c r="T50" s="16"/>
    </row>
    <row r="51" spans="1:20" x14ac:dyDescent="0.2">
      <c r="A51" s="1" t="s">
        <v>52</v>
      </c>
      <c r="B51" s="23">
        <v>19824</v>
      </c>
      <c r="D51" s="39">
        <v>19496</v>
      </c>
      <c r="E51" s="40"/>
      <c r="F51" s="31">
        <v>19632</v>
      </c>
      <c r="G51" s="40"/>
      <c r="H51" s="25">
        <f>0.75*D51</f>
        <v>14622</v>
      </c>
      <c r="I51" s="41"/>
      <c r="J51" s="41">
        <v>8277</v>
      </c>
      <c r="K51" s="41"/>
      <c r="L51" s="31">
        <v>21120</v>
      </c>
      <c r="N51" s="37" t="s">
        <v>53</v>
      </c>
      <c r="O51" s="38"/>
      <c r="P51" s="38"/>
      <c r="Q51" s="31">
        <v>19496</v>
      </c>
      <c r="R51" s="31"/>
      <c r="S51" s="31"/>
      <c r="T51" s="31"/>
    </row>
    <row r="52" spans="1:20" x14ac:dyDescent="0.2">
      <c r="A52" s="1" t="s">
        <v>40</v>
      </c>
      <c r="B52" s="18">
        <f>SUM(B47:B51)</f>
        <v>19824</v>
      </c>
      <c r="D52" s="33">
        <f>SUM(D47:D51)</f>
        <v>19512.77</v>
      </c>
      <c r="E52" s="34"/>
      <c r="F52" s="16">
        <f>SUM(F47:F51)</f>
        <v>19632</v>
      </c>
      <c r="G52" s="34"/>
      <c r="H52" s="20">
        <f>0.75*D52</f>
        <v>14634.577499999999</v>
      </c>
      <c r="I52" s="35"/>
      <c r="J52" s="35">
        <f>SUM(J49:J51)</f>
        <v>8294</v>
      </c>
      <c r="K52" s="35"/>
      <c r="L52" s="16">
        <f>SUM(L47:L51)</f>
        <v>21395</v>
      </c>
      <c r="N52" s="47"/>
      <c r="O52" s="48"/>
      <c r="P52" s="48"/>
      <c r="Q52" s="16">
        <f>SUM(Q49:Q51)</f>
        <v>19512.77</v>
      </c>
      <c r="R52" s="16"/>
      <c r="S52" s="16"/>
      <c r="T52" s="16"/>
    </row>
    <row r="53" spans="1:20" x14ac:dyDescent="0.2">
      <c r="B53" s="18"/>
      <c r="D53" s="33"/>
      <c r="E53" s="34"/>
      <c r="F53" s="16"/>
      <c r="G53" s="34"/>
      <c r="H53" s="35"/>
      <c r="I53" s="35"/>
      <c r="J53" s="35"/>
      <c r="K53" s="35"/>
      <c r="L53" s="16"/>
      <c r="Q53" s="16"/>
      <c r="R53" s="16"/>
      <c r="S53" s="16"/>
      <c r="T53" s="16"/>
    </row>
    <row r="54" spans="1:20" x14ac:dyDescent="0.2">
      <c r="A54" s="14" t="s">
        <v>54</v>
      </c>
      <c r="B54" s="18"/>
      <c r="C54" s="15"/>
      <c r="D54" s="33"/>
      <c r="E54" s="34"/>
      <c r="F54" s="16"/>
      <c r="G54" s="34"/>
      <c r="H54" s="35"/>
      <c r="I54" s="35"/>
      <c r="J54" s="35"/>
      <c r="K54" s="35"/>
      <c r="L54" s="16"/>
      <c r="Q54" s="16"/>
      <c r="R54" s="16"/>
      <c r="S54" s="16"/>
      <c r="T54" s="16"/>
    </row>
    <row r="55" spans="1:20" ht="14.25" customHeight="1" x14ac:dyDescent="0.2">
      <c r="A55" s="1" t="s">
        <v>55</v>
      </c>
      <c r="B55" s="18">
        <v>115</v>
      </c>
      <c r="D55" s="33">
        <v>183.55</v>
      </c>
      <c r="E55" s="34"/>
      <c r="F55" s="44">
        <v>250</v>
      </c>
      <c r="G55" s="34"/>
      <c r="H55" s="20">
        <f>0.75*D55</f>
        <v>137.66250000000002</v>
      </c>
      <c r="I55" s="35"/>
      <c r="J55" s="35">
        <v>155</v>
      </c>
      <c r="K55" s="35"/>
      <c r="L55" s="44">
        <v>250</v>
      </c>
      <c r="N55" s="132" t="s">
        <v>56</v>
      </c>
      <c r="O55" s="49"/>
      <c r="P55" s="49"/>
      <c r="Q55" s="44"/>
      <c r="R55" s="44"/>
      <c r="S55" s="44"/>
      <c r="T55" s="44"/>
    </row>
    <row r="56" spans="1:20" x14ac:dyDescent="0.2">
      <c r="A56" s="1" t="s">
        <v>42</v>
      </c>
      <c r="B56" s="23">
        <v>393</v>
      </c>
      <c r="D56" s="39">
        <v>583.42999999999995</v>
      </c>
      <c r="E56" s="40"/>
      <c r="F56" s="46">
        <v>100</v>
      </c>
      <c r="G56" s="40"/>
      <c r="H56" s="25">
        <f>0.75*D56</f>
        <v>437.57249999999999</v>
      </c>
      <c r="I56" s="35"/>
      <c r="J56" s="41">
        <v>583</v>
      </c>
      <c r="K56" s="35"/>
      <c r="L56" s="46">
        <v>500</v>
      </c>
      <c r="N56" s="132"/>
      <c r="O56" s="49"/>
      <c r="P56" s="49"/>
      <c r="Q56" s="46">
        <v>22.5</v>
      </c>
      <c r="R56" s="46">
        <v>84.57</v>
      </c>
      <c r="S56" s="46">
        <v>476.36</v>
      </c>
      <c r="T56" s="46">
        <f>SUM(Q56:S56)</f>
        <v>583.43000000000006</v>
      </c>
    </row>
    <row r="57" spans="1:20" x14ac:dyDescent="0.2">
      <c r="A57" s="1" t="s">
        <v>40</v>
      </c>
      <c r="B57" s="18">
        <f>SUM(B55:B56)</f>
        <v>508</v>
      </c>
      <c r="D57" s="33">
        <f>SUM(D55:D56)</f>
        <v>766.98</v>
      </c>
      <c r="E57" s="34"/>
      <c r="F57" s="44">
        <f>SUM(F55:F56)</f>
        <v>350</v>
      </c>
      <c r="G57" s="34"/>
      <c r="H57" s="20">
        <f>0.75*D57</f>
        <v>575.23500000000001</v>
      </c>
      <c r="I57" s="35"/>
      <c r="J57" s="35">
        <f>SUM(J55:J56)</f>
        <v>738</v>
      </c>
      <c r="K57" s="35"/>
      <c r="L57" s="44">
        <f>SUM(L55:L56)</f>
        <v>750</v>
      </c>
      <c r="N57" s="132"/>
      <c r="O57" s="49"/>
      <c r="P57" s="49"/>
      <c r="Q57" s="44"/>
      <c r="R57" s="44"/>
      <c r="S57" s="44"/>
      <c r="T57" s="44"/>
    </row>
    <row r="58" spans="1:20" x14ac:dyDescent="0.2">
      <c r="B58" s="18"/>
      <c r="D58" s="43"/>
      <c r="F58" s="16"/>
      <c r="I58" s="35"/>
      <c r="J58" s="35"/>
      <c r="K58" s="35"/>
      <c r="L58" s="16"/>
      <c r="Q58" s="16"/>
      <c r="R58" s="16"/>
      <c r="S58" s="16"/>
      <c r="T58" s="16"/>
    </row>
    <row r="59" spans="1:20" x14ac:dyDescent="0.2">
      <c r="B59" s="18"/>
      <c r="D59" s="43"/>
      <c r="F59" s="16"/>
      <c r="I59" s="35"/>
      <c r="J59" s="35"/>
      <c r="K59" s="35"/>
      <c r="L59" s="16"/>
      <c r="Q59" s="16"/>
      <c r="R59" s="16"/>
      <c r="S59" s="16"/>
      <c r="T59" s="16"/>
    </row>
    <row r="60" spans="1:20" x14ac:dyDescent="0.2">
      <c r="B60" s="18"/>
      <c r="D60" s="43"/>
      <c r="F60" s="16"/>
      <c r="I60" s="35"/>
      <c r="J60" s="35"/>
      <c r="K60" s="35"/>
      <c r="L60" s="16"/>
      <c r="Q60" s="16"/>
      <c r="R60" s="16"/>
      <c r="S60" s="16"/>
      <c r="T60" s="16"/>
    </row>
    <row r="61" spans="1:20" x14ac:dyDescent="0.2">
      <c r="B61" s="18"/>
      <c r="D61" s="43"/>
      <c r="F61" s="16"/>
      <c r="I61" s="35"/>
      <c r="J61" s="35"/>
      <c r="K61" s="35"/>
      <c r="L61" s="16"/>
      <c r="Q61" s="16"/>
      <c r="R61" s="16"/>
      <c r="S61" s="16"/>
      <c r="T61" s="16"/>
    </row>
    <row r="62" spans="1:20" x14ac:dyDescent="0.2">
      <c r="B62" s="18"/>
      <c r="D62" s="43"/>
      <c r="F62" s="16"/>
      <c r="I62" s="35"/>
      <c r="J62" s="35"/>
      <c r="K62" s="35"/>
      <c r="L62" s="16"/>
      <c r="Q62" s="16"/>
      <c r="R62" s="16"/>
      <c r="S62" s="16"/>
      <c r="T62" s="16"/>
    </row>
    <row r="63" spans="1:20" x14ac:dyDescent="0.2">
      <c r="B63" s="18"/>
      <c r="D63" s="43"/>
      <c r="F63" s="16"/>
      <c r="I63" s="35"/>
      <c r="J63" s="35"/>
      <c r="K63" s="35"/>
      <c r="L63" s="16"/>
      <c r="Q63" s="16"/>
      <c r="R63" s="16"/>
      <c r="S63" s="16"/>
      <c r="T63" s="16"/>
    </row>
    <row r="64" spans="1:20" x14ac:dyDescent="0.2">
      <c r="B64" s="18"/>
      <c r="D64" s="43"/>
      <c r="F64" s="16"/>
      <c r="I64" s="35"/>
      <c r="J64" s="35"/>
      <c r="K64" s="35"/>
      <c r="L64" s="16"/>
      <c r="Q64" s="16"/>
      <c r="R64" s="16"/>
      <c r="S64" s="16"/>
      <c r="T64" s="16"/>
    </row>
    <row r="65" spans="1:20" x14ac:dyDescent="0.2">
      <c r="B65" s="18"/>
      <c r="D65" s="43"/>
      <c r="F65" s="16"/>
      <c r="I65" s="35"/>
      <c r="J65" s="35"/>
      <c r="K65" s="35"/>
      <c r="L65" s="16"/>
      <c r="Q65" s="16"/>
      <c r="R65" s="16"/>
      <c r="S65" s="16"/>
      <c r="T65" s="16"/>
    </row>
    <row r="66" spans="1:20" x14ac:dyDescent="0.2">
      <c r="A66" s="14" t="s">
        <v>57</v>
      </c>
      <c r="B66" s="18"/>
      <c r="C66" s="15"/>
      <c r="D66" s="43"/>
      <c r="F66" s="16"/>
      <c r="I66" s="35"/>
      <c r="J66" s="35"/>
      <c r="K66" s="35"/>
      <c r="L66" s="16"/>
      <c r="Q66" s="16"/>
      <c r="R66" s="16"/>
      <c r="S66" s="16"/>
      <c r="T66" s="16"/>
    </row>
    <row r="67" spans="1:20" ht="12.75" customHeight="1" x14ac:dyDescent="0.2">
      <c r="A67" s="1" t="s">
        <v>58</v>
      </c>
      <c r="B67" s="18">
        <v>1477</v>
      </c>
      <c r="D67" s="33">
        <v>1438.28</v>
      </c>
      <c r="E67" s="34"/>
      <c r="F67" s="36">
        <v>1400</v>
      </c>
      <c r="G67" s="34"/>
      <c r="H67" s="20">
        <f t="shared" ref="H67:H73" si="2">0.75*D67</f>
        <v>1078.71</v>
      </c>
      <c r="I67" s="35"/>
      <c r="J67" s="35">
        <v>1030</v>
      </c>
      <c r="K67" s="35"/>
      <c r="L67" s="36">
        <v>1400</v>
      </c>
      <c r="N67" s="131" t="s">
        <v>37</v>
      </c>
      <c r="O67" s="45"/>
      <c r="P67" s="45"/>
      <c r="Q67" s="36"/>
      <c r="R67" s="36"/>
      <c r="S67" s="36"/>
      <c r="T67" s="36"/>
    </row>
    <row r="68" spans="1:20" x14ac:dyDescent="0.2">
      <c r="A68" s="1" t="s">
        <v>59</v>
      </c>
      <c r="B68" s="18">
        <v>566</v>
      </c>
      <c r="D68" s="33">
        <v>971.88</v>
      </c>
      <c r="E68" s="34"/>
      <c r="F68" s="36">
        <v>800</v>
      </c>
      <c r="G68" s="34"/>
      <c r="H68" s="20">
        <f t="shared" si="2"/>
        <v>728.91</v>
      </c>
      <c r="I68" s="35"/>
      <c r="J68" s="35">
        <v>688</v>
      </c>
      <c r="K68" s="35"/>
      <c r="L68" s="36">
        <v>1000</v>
      </c>
      <c r="N68" s="131"/>
      <c r="O68" s="45"/>
      <c r="P68" s="45"/>
      <c r="Q68" s="36"/>
      <c r="R68" s="36"/>
      <c r="S68" s="36"/>
      <c r="T68" s="36"/>
    </row>
    <row r="69" spans="1:20" x14ac:dyDescent="0.2">
      <c r="A69" s="1" t="s">
        <v>60</v>
      </c>
      <c r="B69" s="18">
        <v>715</v>
      </c>
      <c r="D69" s="33">
        <v>703.12</v>
      </c>
      <c r="E69" s="34"/>
      <c r="F69" s="36">
        <v>1440</v>
      </c>
      <c r="G69" s="34"/>
      <c r="H69" s="20">
        <f t="shared" si="2"/>
        <v>527.34</v>
      </c>
      <c r="I69" s="35"/>
      <c r="J69" s="35">
        <v>518</v>
      </c>
      <c r="K69" s="35"/>
      <c r="L69" s="36">
        <v>1440</v>
      </c>
      <c r="N69" s="131"/>
      <c r="O69" s="45"/>
      <c r="P69" s="45"/>
      <c r="Q69" s="36" t="s">
        <v>61</v>
      </c>
      <c r="R69" s="36"/>
      <c r="S69" s="36"/>
      <c r="T69" s="36"/>
    </row>
    <row r="70" spans="1:20" x14ac:dyDescent="0.2">
      <c r="A70" s="1" t="s">
        <v>62</v>
      </c>
      <c r="B70" s="18">
        <v>1465</v>
      </c>
      <c r="D70" s="33">
        <v>1562.71</v>
      </c>
      <c r="E70" s="34"/>
      <c r="F70" s="36">
        <v>1500</v>
      </c>
      <c r="G70" s="34"/>
      <c r="H70" s="20">
        <f t="shared" si="2"/>
        <v>1172.0325</v>
      </c>
      <c r="I70" s="35"/>
      <c r="J70" s="35">
        <v>1025</v>
      </c>
      <c r="K70" s="35"/>
      <c r="L70" s="36">
        <v>1500</v>
      </c>
      <c r="N70" s="131"/>
      <c r="O70" s="45"/>
      <c r="P70" s="45"/>
      <c r="Q70" s="36"/>
      <c r="R70" s="36"/>
      <c r="S70" s="36"/>
      <c r="T70" s="36"/>
    </row>
    <row r="71" spans="1:20" x14ac:dyDescent="0.2">
      <c r="A71" s="1" t="s">
        <v>63</v>
      </c>
      <c r="B71" s="18">
        <v>93</v>
      </c>
      <c r="D71" s="33">
        <v>1018</v>
      </c>
      <c r="E71" s="34"/>
      <c r="F71" s="36">
        <v>485</v>
      </c>
      <c r="G71" s="34"/>
      <c r="H71" s="20">
        <f t="shared" si="2"/>
        <v>763.5</v>
      </c>
      <c r="I71" s="35"/>
      <c r="J71" s="35">
        <v>948</v>
      </c>
      <c r="K71" s="35"/>
      <c r="L71" s="36">
        <v>250</v>
      </c>
      <c r="N71" s="131"/>
      <c r="O71" s="45"/>
      <c r="P71" s="45"/>
      <c r="Q71" s="36" t="s">
        <v>61</v>
      </c>
      <c r="R71" s="36"/>
      <c r="S71" s="36"/>
      <c r="T71" s="36"/>
    </row>
    <row r="72" spans="1:20" x14ac:dyDescent="0.2">
      <c r="A72" s="1" t="s">
        <v>64</v>
      </c>
      <c r="B72" s="23">
        <v>0</v>
      </c>
      <c r="D72" s="39">
        <v>0</v>
      </c>
      <c r="E72" s="40"/>
      <c r="F72" s="42">
        <v>150</v>
      </c>
      <c r="G72" s="40"/>
      <c r="H72" s="25">
        <f t="shared" si="2"/>
        <v>0</v>
      </c>
      <c r="I72" s="41"/>
      <c r="J72" s="41">
        <v>0</v>
      </c>
      <c r="K72" s="41"/>
      <c r="L72" s="42">
        <v>0</v>
      </c>
      <c r="N72" s="131"/>
      <c r="O72" s="45"/>
      <c r="P72" s="45"/>
      <c r="Q72" s="42"/>
      <c r="R72" s="42"/>
      <c r="S72" s="42"/>
      <c r="T72" s="42"/>
    </row>
    <row r="73" spans="1:20" x14ac:dyDescent="0.2">
      <c r="A73" s="1" t="s">
        <v>40</v>
      </c>
      <c r="B73" s="18">
        <f>SUM(B67:B72)</f>
        <v>4316</v>
      </c>
      <c r="D73" s="33">
        <f>SUM(D67:D72)</f>
        <v>5693.99</v>
      </c>
      <c r="E73" s="34"/>
      <c r="F73" s="36">
        <f>SUM(F67:F72)</f>
        <v>5775</v>
      </c>
      <c r="G73" s="34"/>
      <c r="H73" s="20">
        <f t="shared" si="2"/>
        <v>4270.4925000000003</v>
      </c>
      <c r="I73" s="35"/>
      <c r="J73" s="35">
        <f>SUM(J67:J72)</f>
        <v>4209</v>
      </c>
      <c r="K73" s="35"/>
      <c r="L73" s="36">
        <f>SUM(L67:L72)</f>
        <v>5590</v>
      </c>
      <c r="N73" s="131"/>
      <c r="O73" s="45"/>
      <c r="P73" s="45"/>
      <c r="Q73" s="36"/>
      <c r="R73" s="36"/>
      <c r="S73" s="36"/>
      <c r="T73" s="36"/>
    </row>
    <row r="74" spans="1:20" x14ac:dyDescent="0.2">
      <c r="B74" s="18"/>
      <c r="D74" s="33"/>
      <c r="E74" s="34"/>
      <c r="F74" s="36"/>
      <c r="G74" s="34"/>
      <c r="H74" s="20"/>
      <c r="I74" s="35"/>
      <c r="J74" s="35"/>
      <c r="K74" s="35"/>
      <c r="L74" s="36"/>
      <c r="N74" s="45"/>
      <c r="O74" s="45"/>
      <c r="P74" s="45"/>
      <c r="Q74" s="36"/>
      <c r="R74" s="36"/>
      <c r="S74" s="36"/>
      <c r="T74" s="36"/>
    </row>
    <row r="75" spans="1:20" x14ac:dyDescent="0.2">
      <c r="A75" s="14" t="s">
        <v>65</v>
      </c>
      <c r="B75" s="18"/>
      <c r="C75" s="15"/>
      <c r="D75" s="43"/>
      <c r="F75" s="16"/>
      <c r="I75" s="35"/>
      <c r="J75" s="35"/>
      <c r="K75" s="35"/>
      <c r="L75" s="16"/>
      <c r="Q75" s="16"/>
      <c r="R75" s="16"/>
      <c r="S75" s="16"/>
      <c r="T75" s="16"/>
    </row>
    <row r="76" spans="1:20" ht="12.75" customHeight="1" x14ac:dyDescent="0.2">
      <c r="A76" s="1" t="s">
        <v>66</v>
      </c>
      <c r="B76" s="18">
        <v>7941</v>
      </c>
      <c r="D76" s="33">
        <v>8937.91</v>
      </c>
      <c r="E76" s="34"/>
      <c r="F76" s="44">
        <v>10000</v>
      </c>
      <c r="G76" s="34"/>
      <c r="H76" s="20">
        <f t="shared" ref="H76:H83" si="3">0.75*D76</f>
        <v>6703.4324999999999</v>
      </c>
      <c r="I76" s="35"/>
      <c r="J76" s="35">
        <v>6653</v>
      </c>
      <c r="K76" s="35"/>
      <c r="L76" s="44">
        <v>10000</v>
      </c>
      <c r="N76" s="127" t="s">
        <v>37</v>
      </c>
      <c r="O76" s="50"/>
      <c r="P76" s="50"/>
      <c r="Q76" s="44"/>
      <c r="R76" s="44"/>
      <c r="S76" s="44"/>
      <c r="T76" s="44"/>
    </row>
    <row r="77" spans="1:20" x14ac:dyDescent="0.2">
      <c r="A77" s="1" t="s">
        <v>67</v>
      </c>
      <c r="B77" s="18">
        <v>9197</v>
      </c>
      <c r="D77" s="33">
        <v>1448.71</v>
      </c>
      <c r="E77" s="34"/>
      <c r="F77" s="44">
        <v>5000</v>
      </c>
      <c r="G77" s="34"/>
      <c r="H77" s="20">
        <f t="shared" si="3"/>
        <v>1086.5325</v>
      </c>
      <c r="I77" s="35"/>
      <c r="J77" s="35">
        <v>37816</v>
      </c>
      <c r="K77" s="35"/>
      <c r="L77" s="44">
        <v>5000</v>
      </c>
      <c r="N77" s="127"/>
      <c r="O77" s="50"/>
      <c r="P77" s="50"/>
      <c r="Q77" s="44"/>
      <c r="R77" s="44"/>
      <c r="S77" s="44"/>
      <c r="T77" s="44"/>
    </row>
    <row r="78" spans="1:20" x14ac:dyDescent="0.2">
      <c r="A78" s="1" t="s">
        <v>68</v>
      </c>
      <c r="B78" s="18">
        <v>6457</v>
      </c>
      <c r="D78" s="33">
        <v>6928.11</v>
      </c>
      <c r="E78" s="34"/>
      <c r="F78" s="44">
        <v>6000</v>
      </c>
      <c r="G78" s="34"/>
      <c r="H78" s="20">
        <f t="shared" si="3"/>
        <v>5196.0824999999995</v>
      </c>
      <c r="I78" s="35"/>
      <c r="J78" s="35">
        <v>4864</v>
      </c>
      <c r="K78" s="35"/>
      <c r="L78" s="44">
        <v>6000</v>
      </c>
      <c r="N78" s="127"/>
      <c r="O78" s="50"/>
      <c r="P78" s="50"/>
      <c r="Q78" s="44"/>
      <c r="R78" s="44"/>
      <c r="S78" s="44"/>
      <c r="T78" s="44"/>
    </row>
    <row r="79" spans="1:20" x14ac:dyDescent="0.2">
      <c r="A79" s="1" t="s">
        <v>69</v>
      </c>
      <c r="B79" s="18">
        <v>6078</v>
      </c>
      <c r="D79" s="33">
        <v>168.31</v>
      </c>
      <c r="E79" s="34"/>
      <c r="F79" s="44">
        <v>600</v>
      </c>
      <c r="G79" s="34"/>
      <c r="H79" s="20">
        <f t="shared" si="3"/>
        <v>126.2325</v>
      </c>
      <c r="I79" s="35"/>
      <c r="J79" s="35">
        <v>168</v>
      </c>
      <c r="K79" s="35"/>
      <c r="L79" s="44">
        <v>500</v>
      </c>
      <c r="N79" s="51" t="s">
        <v>32</v>
      </c>
      <c r="O79" s="52"/>
      <c r="P79" s="52"/>
      <c r="Q79" s="44"/>
      <c r="R79" s="44"/>
      <c r="S79" s="44"/>
      <c r="T79" s="44"/>
    </row>
    <row r="80" spans="1:20" ht="12.75" customHeight="1" x14ac:dyDescent="0.2">
      <c r="A80" s="1" t="s">
        <v>70</v>
      </c>
      <c r="B80" s="18">
        <v>15</v>
      </c>
      <c r="D80" s="33">
        <v>791.3</v>
      </c>
      <c r="E80" s="34"/>
      <c r="F80" s="44">
        <v>2100</v>
      </c>
      <c r="G80" s="34"/>
      <c r="H80" s="20">
        <f t="shared" si="3"/>
        <v>593.47499999999991</v>
      </c>
      <c r="I80" s="35"/>
      <c r="J80" s="35">
        <v>554</v>
      </c>
      <c r="K80" s="35"/>
      <c r="L80" s="44">
        <v>2100</v>
      </c>
      <c r="N80" s="127" t="s">
        <v>37</v>
      </c>
      <c r="O80" s="50"/>
      <c r="P80" s="50"/>
      <c r="Q80" s="44"/>
      <c r="R80" s="44"/>
      <c r="S80" s="44"/>
      <c r="T80" s="44"/>
    </row>
    <row r="81" spans="1:20" x14ac:dyDescent="0.2">
      <c r="A81" s="1" t="s">
        <v>71</v>
      </c>
      <c r="B81" s="18">
        <v>9360</v>
      </c>
      <c r="D81" s="33">
        <v>9360</v>
      </c>
      <c r="E81" s="34"/>
      <c r="F81" s="16">
        <v>9360</v>
      </c>
      <c r="G81" s="34"/>
      <c r="H81" s="20">
        <f t="shared" si="3"/>
        <v>7020</v>
      </c>
      <c r="I81" s="35"/>
      <c r="J81" s="35">
        <v>6300</v>
      </c>
      <c r="K81" s="35"/>
      <c r="L81" s="16">
        <v>9360</v>
      </c>
      <c r="N81" s="127"/>
      <c r="O81" s="50"/>
      <c r="P81" s="50"/>
      <c r="Q81" s="16"/>
      <c r="R81" s="16"/>
      <c r="S81" s="16"/>
      <c r="T81" s="16"/>
    </row>
    <row r="82" spans="1:20" x14ac:dyDescent="0.2">
      <c r="A82" s="1" t="s">
        <v>72</v>
      </c>
      <c r="B82" s="18">
        <v>361</v>
      </c>
      <c r="D82" s="33">
        <v>592.22</v>
      </c>
      <c r="E82" s="34"/>
      <c r="F82" s="44">
        <v>500</v>
      </c>
      <c r="G82" s="34"/>
      <c r="H82" s="20">
        <f t="shared" si="3"/>
        <v>444.16500000000002</v>
      </c>
      <c r="I82" s="35"/>
      <c r="J82" s="35">
        <v>326</v>
      </c>
      <c r="K82" s="35"/>
      <c r="L82" s="44">
        <v>500</v>
      </c>
      <c r="N82" s="127"/>
      <c r="O82" s="50"/>
      <c r="P82" s="50"/>
      <c r="Q82" s="44"/>
      <c r="R82" s="44"/>
      <c r="S82" s="44"/>
      <c r="T82" s="44"/>
    </row>
    <row r="83" spans="1:20" x14ac:dyDescent="0.2">
      <c r="A83" s="1" t="s">
        <v>73</v>
      </c>
      <c r="B83" s="18">
        <v>2400</v>
      </c>
      <c r="D83" s="33">
        <v>4800</v>
      </c>
      <c r="E83" s="34"/>
      <c r="F83" s="44">
        <v>7020</v>
      </c>
      <c r="G83" s="34"/>
      <c r="H83" s="20">
        <f t="shared" si="3"/>
        <v>3600</v>
      </c>
      <c r="I83" s="35"/>
      <c r="J83" s="35">
        <v>2969</v>
      </c>
      <c r="K83" s="35"/>
      <c r="L83" s="44">
        <v>7020</v>
      </c>
      <c r="N83" s="50"/>
      <c r="O83" s="50"/>
      <c r="P83" s="50"/>
      <c r="Q83" s="44"/>
      <c r="R83" s="44"/>
      <c r="S83" s="44"/>
      <c r="T83" s="44"/>
    </row>
    <row r="84" spans="1:20" x14ac:dyDescent="0.2">
      <c r="A84" s="1" t="s">
        <v>74</v>
      </c>
      <c r="B84" s="18"/>
      <c r="D84" s="43"/>
      <c r="F84" s="44"/>
      <c r="I84" s="35"/>
      <c r="J84" s="35"/>
      <c r="K84" s="35"/>
      <c r="L84" s="44"/>
      <c r="N84" s="48"/>
      <c r="O84" s="48"/>
      <c r="P84" s="48"/>
      <c r="Q84" s="44"/>
      <c r="R84" s="44"/>
      <c r="S84" s="44"/>
      <c r="T84" s="44"/>
    </row>
    <row r="85" spans="1:20" ht="12.75" customHeight="1" x14ac:dyDescent="0.2">
      <c r="A85" s="1" t="s">
        <v>75</v>
      </c>
      <c r="B85" s="18">
        <v>2182</v>
      </c>
      <c r="D85" s="33">
        <v>3874.43</v>
      </c>
      <c r="E85" s="34"/>
      <c r="F85" s="44">
        <v>4000</v>
      </c>
      <c r="G85" s="34"/>
      <c r="H85" s="20">
        <f>0.75*D85</f>
        <v>2905.8224999999998</v>
      </c>
      <c r="I85" s="35"/>
      <c r="J85" s="35">
        <v>2877</v>
      </c>
      <c r="K85" s="35"/>
      <c r="L85" s="44">
        <v>4000</v>
      </c>
      <c r="N85" s="128" t="s">
        <v>12</v>
      </c>
      <c r="O85" s="53"/>
      <c r="P85" s="53"/>
      <c r="Q85" s="44"/>
      <c r="R85" s="44"/>
      <c r="S85" s="44"/>
      <c r="T85" s="44"/>
    </row>
    <row r="86" spans="1:20" x14ac:dyDescent="0.2">
      <c r="A86" s="1" t="s">
        <v>76</v>
      </c>
      <c r="B86" s="18">
        <v>0</v>
      </c>
      <c r="D86" s="33">
        <v>0</v>
      </c>
      <c r="E86" s="34"/>
      <c r="F86" s="44">
        <v>480</v>
      </c>
      <c r="G86" s="34"/>
      <c r="H86" s="20">
        <f>0.75*D86</f>
        <v>0</v>
      </c>
      <c r="I86" s="35"/>
      <c r="J86" s="35">
        <v>0</v>
      </c>
      <c r="K86" s="35"/>
      <c r="L86" s="44">
        <v>480</v>
      </c>
      <c r="N86" s="128"/>
      <c r="O86" s="53"/>
      <c r="P86" s="53"/>
      <c r="Q86" s="44"/>
      <c r="R86" s="44"/>
      <c r="S86" s="44"/>
      <c r="T86" s="44"/>
    </row>
    <row r="87" spans="1:20" x14ac:dyDescent="0.2">
      <c r="A87" s="1" t="s">
        <v>77</v>
      </c>
      <c r="B87" s="18">
        <v>3764</v>
      </c>
      <c r="D87" s="33">
        <v>1110.32</v>
      </c>
      <c r="E87" s="34"/>
      <c r="F87" s="44">
        <v>1000</v>
      </c>
      <c r="G87" s="34"/>
      <c r="H87" s="20">
        <f>0.75*D87</f>
        <v>832.74</v>
      </c>
      <c r="I87" s="35"/>
      <c r="J87" s="35">
        <v>60</v>
      </c>
      <c r="K87" s="35"/>
      <c r="L87" s="44">
        <v>1000</v>
      </c>
      <c r="N87" s="128"/>
      <c r="O87" s="53"/>
      <c r="P87" s="53"/>
      <c r="Q87" s="44"/>
      <c r="R87" s="44"/>
      <c r="S87" s="44"/>
      <c r="T87" s="44"/>
    </row>
    <row r="88" spans="1:20" x14ac:dyDescent="0.2">
      <c r="A88" s="1" t="s">
        <v>78</v>
      </c>
      <c r="B88" s="23">
        <v>128</v>
      </c>
      <c r="D88" s="39">
        <v>451.12</v>
      </c>
      <c r="E88" s="40"/>
      <c r="F88" s="46">
        <v>300</v>
      </c>
      <c r="G88" s="40"/>
      <c r="H88" s="25">
        <f>0.75*D88</f>
        <v>338.34000000000003</v>
      </c>
      <c r="I88" s="41"/>
      <c r="J88" s="41">
        <v>0</v>
      </c>
      <c r="K88" s="41"/>
      <c r="L88" s="46">
        <v>300</v>
      </c>
      <c r="N88" s="128"/>
      <c r="O88" s="53"/>
      <c r="P88" s="53"/>
      <c r="Q88" s="46"/>
      <c r="R88" s="46"/>
      <c r="S88" s="46"/>
      <c r="T88" s="46"/>
    </row>
    <row r="89" spans="1:20" x14ac:dyDescent="0.2">
      <c r="A89" s="1" t="s">
        <v>79</v>
      </c>
      <c r="B89" s="18">
        <f>SUM(B76:B88)</f>
        <v>47883</v>
      </c>
      <c r="D89" s="33">
        <f>SUM(D76:D88)</f>
        <v>38462.43</v>
      </c>
      <c r="E89" s="34"/>
      <c r="F89" s="44">
        <f>SUM(F76:F88)</f>
        <v>46360</v>
      </c>
      <c r="G89" s="34"/>
      <c r="H89" s="20">
        <f>0.75*D89</f>
        <v>28846.822500000002</v>
      </c>
      <c r="I89" s="35"/>
      <c r="J89" s="35">
        <f>SUM(J76:J88)</f>
        <v>62587</v>
      </c>
      <c r="K89" s="35"/>
      <c r="L89" s="44">
        <f>SUM(L76:L88)</f>
        <v>46260</v>
      </c>
      <c r="N89" s="128"/>
      <c r="O89" s="53"/>
      <c r="P89" s="53"/>
      <c r="Q89" s="44"/>
      <c r="R89" s="44"/>
      <c r="S89" s="44"/>
      <c r="T89" s="44"/>
    </row>
    <row r="90" spans="1:20" x14ac:dyDescent="0.2">
      <c r="B90" s="18"/>
      <c r="D90" s="43"/>
      <c r="F90" s="16"/>
      <c r="I90" s="35"/>
      <c r="J90" s="35"/>
      <c r="K90" s="35"/>
      <c r="L90" s="16"/>
      <c r="Q90" s="16"/>
      <c r="R90" s="16"/>
      <c r="S90" s="16"/>
      <c r="T90" s="16"/>
    </row>
    <row r="91" spans="1:20" x14ac:dyDescent="0.2">
      <c r="A91" s="1" t="s">
        <v>80</v>
      </c>
      <c r="B91" s="18">
        <f>+B30+B38+B46+B52+B57+B73+B89</f>
        <v>157135</v>
      </c>
      <c r="D91" s="33">
        <f>+D30+D38+D46+D52+D57+D73+D89</f>
        <v>152377.54164000001</v>
      </c>
      <c r="E91" s="34"/>
      <c r="F91" s="44">
        <f>+F30+F38+F46+F52+F57+F73+F89</f>
        <v>164515</v>
      </c>
      <c r="G91" s="34"/>
      <c r="H91" s="20">
        <f>0.75*D91</f>
        <v>114283.15623000001</v>
      </c>
      <c r="I91" s="35"/>
      <c r="J91" s="35">
        <f>+J30+J38+J46+J52+J57+J73+J89</f>
        <v>138112</v>
      </c>
      <c r="K91" s="35"/>
      <c r="L91" s="44">
        <f>+L30+L38+L46+L52+L57+L73+L89</f>
        <v>166564</v>
      </c>
      <c r="Q91" s="44"/>
      <c r="R91" s="44"/>
      <c r="S91" s="44"/>
      <c r="T91" s="44"/>
    </row>
    <row r="92" spans="1:20" x14ac:dyDescent="0.2">
      <c r="K92" s="54"/>
    </row>
    <row r="93" spans="1:20" x14ac:dyDescent="0.2">
      <c r="A93" s="55"/>
      <c r="B93" s="15" t="s">
        <v>81</v>
      </c>
      <c r="D93" s="56" t="s">
        <v>82</v>
      </c>
      <c r="J93" s="57">
        <f>((J91/9)*12)</f>
        <v>184149.33333333331</v>
      </c>
    </row>
    <row r="94" spans="1:20" ht="14.25" customHeight="1" x14ac:dyDescent="0.2">
      <c r="A94" s="58" t="s">
        <v>83</v>
      </c>
      <c r="B94" s="1" t="s">
        <v>84</v>
      </c>
      <c r="D94" s="59">
        <f>D95/F91</f>
        <v>1.245479135641127E-2</v>
      </c>
      <c r="F94" s="129" t="s">
        <v>85</v>
      </c>
      <c r="G94" s="129"/>
      <c r="H94" s="129"/>
      <c r="I94" s="129"/>
      <c r="J94" s="129"/>
      <c r="K94" s="129"/>
      <c r="L94" s="129"/>
      <c r="M94" s="129"/>
      <c r="N94" s="129"/>
      <c r="O94" s="60"/>
      <c r="P94" s="60"/>
    </row>
    <row r="95" spans="1:20" x14ac:dyDescent="0.2">
      <c r="A95" s="58" t="s">
        <v>86</v>
      </c>
      <c r="D95" s="61">
        <f>L91-F91</f>
        <v>2049</v>
      </c>
      <c r="F95" s="129"/>
      <c r="G95" s="129"/>
      <c r="H95" s="129"/>
      <c r="I95" s="129"/>
      <c r="J95" s="129"/>
      <c r="K95" s="129"/>
      <c r="L95" s="129"/>
      <c r="M95" s="129"/>
      <c r="N95" s="129"/>
      <c r="O95" s="60"/>
      <c r="P95" s="60"/>
    </row>
    <row r="96" spans="1:20" x14ac:dyDescent="0.2">
      <c r="A96" s="62" t="s">
        <v>87</v>
      </c>
      <c r="B96" s="1" t="s">
        <v>88</v>
      </c>
      <c r="D96" s="61">
        <f>L91/12</f>
        <v>13880.333333333334</v>
      </c>
    </row>
    <row r="97" spans="1:12" x14ac:dyDescent="0.2">
      <c r="A97" s="62" t="s">
        <v>89</v>
      </c>
      <c r="B97" s="1" t="s">
        <v>90</v>
      </c>
      <c r="D97" s="61">
        <f>L91/52</f>
        <v>3203.1538461538462</v>
      </c>
      <c r="L97" s="63"/>
    </row>
    <row r="98" spans="1:12" x14ac:dyDescent="0.2">
      <c r="L98" s="63"/>
    </row>
  </sheetData>
  <sheetProtection selectLockedCells="1" selectUnlockedCells="1"/>
  <mergeCells count="9">
    <mergeCell ref="N80:N82"/>
    <mergeCell ref="N85:N89"/>
    <mergeCell ref="F94:N95"/>
    <mergeCell ref="N5:N22"/>
    <mergeCell ref="N35:N38"/>
    <mergeCell ref="N41:N46"/>
    <mergeCell ref="N55:N57"/>
    <mergeCell ref="N67:N73"/>
    <mergeCell ref="N76:N78"/>
  </mergeCells>
  <printOptions horizontalCentered="1"/>
  <pageMargins left="0.5" right="0.4" top="1.2013888888888888" bottom="0.58888888888888891" header="0.49027777777777776" footer="0.39027777777777778"/>
  <pageSetup firstPageNumber="0" orientation="landscape" horizontalDpi="300" verticalDpi="300" r:id="rId1"/>
  <headerFooter alignWithMargins="0">
    <oddHeader>&amp;C&amp;"Trebuchet MS,Bold"&amp;13 2016 Proposed Budget
"St Luke" United Methodist Church</oddHeader>
    <oddFooter>&amp;C&amp;"Trebuchet MS,Regular"Page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Normal="100" workbookViewId="0">
      <selection activeCell="K2" sqref="K2"/>
    </sheetView>
  </sheetViews>
  <sheetFormatPr defaultColWidth="11.5703125" defaultRowHeight="12.75" x14ac:dyDescent="0.2"/>
  <sheetData/>
  <sheetProtection selectLockedCells="1" selectUnlockedCells="1"/>
  <pageMargins left="0.78749999999999998" right="0.78749999999999998" top="0.88749999999999996" bottom="0.88749999999999996" header="0.78749999999999998" footer="0.78749999999999998"/>
  <pageSetup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6"/>
  <sheetViews>
    <sheetView zoomScaleNormal="100" workbookViewId="0"/>
  </sheetViews>
  <sheetFormatPr defaultRowHeight="12.75" x14ac:dyDescent="0.2"/>
  <cols>
    <col min="1" max="1" width="28" customWidth="1"/>
    <col min="2" max="2" width="16.5703125" customWidth="1"/>
    <col min="3" max="3" width="7.140625" customWidth="1"/>
    <col min="4" max="4" width="16.5703125" customWidth="1"/>
    <col min="5" max="8" width="0" hidden="1" customWidth="1"/>
    <col min="9" max="9" width="6.7109375" customWidth="1"/>
    <col min="10" max="10" width="16.5703125" style="76" customWidth="1"/>
    <col min="11" max="11" width="7.140625" customWidth="1"/>
    <col min="12" max="12" width="14.7109375" customWidth="1"/>
  </cols>
  <sheetData>
    <row r="1" spans="1:13" ht="12.75" customHeight="1" x14ac:dyDescent="0.25">
      <c r="A1" s="77"/>
      <c r="B1" s="5">
        <v>2012</v>
      </c>
      <c r="C1" s="77"/>
      <c r="D1" s="5">
        <v>2013</v>
      </c>
      <c r="E1" s="78"/>
      <c r="F1" s="78" t="s">
        <v>102</v>
      </c>
      <c r="G1" s="78"/>
      <c r="H1" s="78" t="s">
        <v>5</v>
      </c>
      <c r="I1" s="78"/>
      <c r="J1" s="5">
        <v>2014</v>
      </c>
      <c r="K1" s="6"/>
    </row>
    <row r="2" spans="1:13" ht="12.75" customHeight="1" x14ac:dyDescent="0.25">
      <c r="A2" s="79" t="s">
        <v>1</v>
      </c>
      <c r="B2" s="10" t="s">
        <v>2</v>
      </c>
      <c r="C2" s="79"/>
      <c r="D2" s="10" t="s">
        <v>3</v>
      </c>
      <c r="E2" s="10"/>
      <c r="F2" s="10" t="s">
        <v>103</v>
      </c>
      <c r="G2" s="10"/>
      <c r="H2" s="11" t="s">
        <v>103</v>
      </c>
      <c r="I2" s="11"/>
      <c r="J2" s="80" t="s">
        <v>6</v>
      </c>
      <c r="K2" s="13"/>
    </row>
    <row r="3" spans="1:13" ht="15" x14ac:dyDescent="0.2">
      <c r="A3" s="81" t="s">
        <v>8</v>
      </c>
      <c r="C3" s="81"/>
      <c r="J3" s="82"/>
    </row>
    <row r="4" spans="1:13" ht="15" x14ac:dyDescent="0.2">
      <c r="A4" s="79" t="s">
        <v>10</v>
      </c>
      <c r="C4" s="79"/>
      <c r="J4" s="82"/>
    </row>
    <row r="5" spans="1:13" ht="15" x14ac:dyDescent="0.2">
      <c r="A5" s="76" t="s">
        <v>11</v>
      </c>
      <c r="B5" s="20">
        <v>33583</v>
      </c>
      <c r="C5" s="76"/>
      <c r="D5" s="83">
        <v>36282</v>
      </c>
      <c r="E5" s="20"/>
      <c r="F5" s="20">
        <f>0.75*D5</f>
        <v>27211.5</v>
      </c>
      <c r="G5" s="20"/>
      <c r="H5" s="20">
        <v>26492</v>
      </c>
      <c r="I5" s="20"/>
      <c r="J5" s="84">
        <v>36066</v>
      </c>
      <c r="M5" s="76"/>
    </row>
    <row r="6" spans="1:13" ht="15" x14ac:dyDescent="0.2">
      <c r="A6" s="81" t="s">
        <v>13</v>
      </c>
      <c r="B6" s="20"/>
      <c r="C6" s="81"/>
      <c r="D6" s="83"/>
      <c r="E6" s="20"/>
      <c r="F6" s="20"/>
      <c r="G6" s="20"/>
      <c r="H6" s="20"/>
      <c r="I6" s="20"/>
      <c r="J6" s="84"/>
    </row>
    <row r="7" spans="1:13" ht="15" x14ac:dyDescent="0.2">
      <c r="A7" s="76" t="s">
        <v>14</v>
      </c>
      <c r="B7" s="20">
        <v>1500</v>
      </c>
      <c r="C7" s="76"/>
      <c r="D7" s="83">
        <v>0</v>
      </c>
      <c r="E7" s="20"/>
      <c r="F7" s="20">
        <f t="shared" ref="F7:F12" si="0">0.75*D7</f>
        <v>0</v>
      </c>
      <c r="G7" s="20"/>
      <c r="H7" s="20">
        <v>640</v>
      </c>
      <c r="I7" s="20"/>
      <c r="J7" s="84">
        <v>960</v>
      </c>
    </row>
    <row r="8" spans="1:13" ht="15" x14ac:dyDescent="0.2">
      <c r="A8" s="76" t="s">
        <v>15</v>
      </c>
      <c r="B8" s="20">
        <v>6072</v>
      </c>
      <c r="C8" s="76"/>
      <c r="D8" s="83">
        <v>2400</v>
      </c>
      <c r="E8" s="20"/>
      <c r="F8" s="20">
        <f t="shared" si="0"/>
        <v>1800</v>
      </c>
      <c r="G8" s="20"/>
      <c r="H8" s="20">
        <v>1600</v>
      </c>
      <c r="I8" s="20"/>
      <c r="J8" s="84">
        <v>2400</v>
      </c>
    </row>
    <row r="9" spans="1:13" ht="15" x14ac:dyDescent="0.2">
      <c r="A9" s="76" t="s">
        <v>16</v>
      </c>
      <c r="B9" s="20">
        <v>0</v>
      </c>
      <c r="C9" s="76"/>
      <c r="D9" s="83">
        <v>0</v>
      </c>
      <c r="E9" s="20"/>
      <c r="F9" s="20">
        <f t="shared" si="0"/>
        <v>0</v>
      </c>
      <c r="G9" s="20"/>
      <c r="H9" s="20">
        <v>0</v>
      </c>
      <c r="I9" s="20"/>
      <c r="J9" s="84">
        <v>0</v>
      </c>
    </row>
    <row r="10" spans="1:13" ht="15" x14ac:dyDescent="0.2">
      <c r="A10" s="76" t="s">
        <v>17</v>
      </c>
      <c r="B10" s="20">
        <v>4572</v>
      </c>
      <c r="C10" s="76"/>
      <c r="D10" s="83">
        <v>5064</v>
      </c>
      <c r="E10" s="20"/>
      <c r="F10" s="20">
        <f t="shared" si="0"/>
        <v>3798</v>
      </c>
      <c r="G10" s="20"/>
      <c r="H10" s="20">
        <v>3376</v>
      </c>
      <c r="I10" s="20"/>
      <c r="J10" s="84">
        <v>5316</v>
      </c>
    </row>
    <row r="11" spans="1:13" ht="15" x14ac:dyDescent="0.2">
      <c r="A11" s="81" t="s">
        <v>18</v>
      </c>
      <c r="B11" s="25">
        <f>SUM(B7:B10)</f>
        <v>12144</v>
      </c>
      <c r="C11" s="81"/>
      <c r="D11" s="85">
        <f>SUM(D7:D10)</f>
        <v>7464</v>
      </c>
      <c r="E11" s="25"/>
      <c r="F11" s="25">
        <f t="shared" si="0"/>
        <v>5598</v>
      </c>
      <c r="G11" s="20"/>
      <c r="H11" s="25">
        <v>5616</v>
      </c>
      <c r="I11" s="20"/>
      <c r="J11" s="86">
        <v>8676</v>
      </c>
    </row>
    <row r="12" spans="1:13" ht="15.75" x14ac:dyDescent="0.25">
      <c r="A12" s="81" t="s">
        <v>19</v>
      </c>
      <c r="B12" s="29">
        <f>+B5+B11</f>
        <v>45727</v>
      </c>
      <c r="C12" s="81"/>
      <c r="D12" s="87">
        <f>+D5+D11</f>
        <v>43746</v>
      </c>
      <c r="E12" s="29"/>
      <c r="F12" s="20">
        <f t="shared" si="0"/>
        <v>32809.5</v>
      </c>
      <c r="G12" s="29"/>
      <c r="H12" s="29">
        <f>+H5+H11</f>
        <v>32108</v>
      </c>
      <c r="I12" s="29"/>
      <c r="J12" s="88">
        <f>+J5+J11</f>
        <v>44742</v>
      </c>
    </row>
    <row r="13" spans="1:13" ht="15" x14ac:dyDescent="0.2">
      <c r="A13" s="81" t="s">
        <v>20</v>
      </c>
      <c r="B13" s="20"/>
      <c r="C13" s="81"/>
      <c r="D13" s="83"/>
      <c r="E13" s="20"/>
      <c r="F13" s="20"/>
      <c r="G13" s="20"/>
      <c r="H13" s="20"/>
      <c r="I13" s="20"/>
      <c r="J13" s="84"/>
    </row>
    <row r="14" spans="1:13" ht="15" x14ac:dyDescent="0.2">
      <c r="A14" s="76" t="s">
        <v>21</v>
      </c>
      <c r="B14" s="20">
        <v>11195</v>
      </c>
      <c r="C14" s="76"/>
      <c r="D14" s="83">
        <v>12300</v>
      </c>
      <c r="E14" s="20"/>
      <c r="F14" s="20">
        <f>0.75*D14</f>
        <v>9225</v>
      </c>
      <c r="G14" s="20"/>
      <c r="H14" s="20">
        <v>8200</v>
      </c>
      <c r="I14" s="20"/>
      <c r="J14" s="84">
        <v>12912</v>
      </c>
    </row>
    <row r="15" spans="1:13" ht="15" x14ac:dyDescent="0.2">
      <c r="A15" s="76" t="s">
        <v>22</v>
      </c>
      <c r="B15" s="20">
        <v>8358</v>
      </c>
      <c r="C15" s="76"/>
      <c r="D15" s="83">
        <v>7929</v>
      </c>
      <c r="E15" s="20"/>
      <c r="F15" s="20">
        <f>0.75*D15</f>
        <v>5946.75</v>
      </c>
      <c r="G15" s="20"/>
      <c r="H15" s="20">
        <v>5286</v>
      </c>
      <c r="I15" s="20"/>
      <c r="J15" s="84">
        <v>6935</v>
      </c>
    </row>
    <row r="16" spans="1:13" ht="15" x14ac:dyDescent="0.2">
      <c r="A16" s="76" t="s">
        <v>23</v>
      </c>
      <c r="B16" s="25">
        <v>1683</v>
      </c>
      <c r="C16" s="76"/>
      <c r="D16" s="85">
        <v>1640</v>
      </c>
      <c r="E16" s="25"/>
      <c r="F16" s="25">
        <f>0.75*D16</f>
        <v>1230</v>
      </c>
      <c r="G16" s="25"/>
      <c r="H16" s="25">
        <v>1094</v>
      </c>
      <c r="I16" s="25"/>
      <c r="J16" s="86">
        <v>1678</v>
      </c>
    </row>
    <row r="17" spans="1:10" ht="15" x14ac:dyDescent="0.2">
      <c r="A17" s="81" t="s">
        <v>24</v>
      </c>
      <c r="B17" s="20">
        <f>SUM(B14:B16)</f>
        <v>21236</v>
      </c>
      <c r="C17" s="81"/>
      <c r="D17" s="83">
        <f>SUM(D14:D16)</f>
        <v>21869</v>
      </c>
      <c r="E17" s="20"/>
      <c r="F17" s="20">
        <f>0.75*D17</f>
        <v>16401.75</v>
      </c>
      <c r="G17" s="20"/>
      <c r="H17" s="20">
        <f>SUM(H14:H16)</f>
        <v>14580</v>
      </c>
      <c r="I17" s="20"/>
      <c r="J17" s="84">
        <f>SUM(J14:J16)</f>
        <v>21525</v>
      </c>
    </row>
    <row r="18" spans="1:10" ht="15" x14ac:dyDescent="0.2">
      <c r="A18" s="81" t="s">
        <v>25</v>
      </c>
      <c r="B18" s="20"/>
      <c r="C18" s="81"/>
      <c r="D18" s="83"/>
      <c r="E18" s="20"/>
      <c r="F18" s="20"/>
      <c r="G18" s="20"/>
      <c r="H18" s="20"/>
      <c r="I18" s="20"/>
      <c r="J18" s="84"/>
    </row>
    <row r="19" spans="1:10" ht="15" x14ac:dyDescent="0.2">
      <c r="A19" s="76" t="s">
        <v>26</v>
      </c>
      <c r="B19" s="20">
        <v>100</v>
      </c>
      <c r="C19" s="76"/>
      <c r="D19" s="83">
        <v>100</v>
      </c>
      <c r="E19" s="20"/>
      <c r="F19" s="20">
        <f>0.75*D19</f>
        <v>75</v>
      </c>
      <c r="G19" s="20"/>
      <c r="H19" s="20">
        <v>73</v>
      </c>
      <c r="I19" s="20"/>
      <c r="J19" s="84">
        <v>100</v>
      </c>
    </row>
    <row r="20" spans="1:10" ht="15" x14ac:dyDescent="0.2">
      <c r="A20" s="76" t="s">
        <v>27</v>
      </c>
      <c r="B20" s="20">
        <v>0</v>
      </c>
      <c r="C20" s="76"/>
      <c r="D20" s="83">
        <v>800</v>
      </c>
      <c r="E20" s="20"/>
      <c r="F20" s="20">
        <f>0.75*D20</f>
        <v>600</v>
      </c>
      <c r="G20" s="20"/>
      <c r="H20" s="20">
        <v>0</v>
      </c>
      <c r="I20" s="20"/>
      <c r="J20" s="84">
        <v>800</v>
      </c>
    </row>
    <row r="21" spans="1:10" ht="15" x14ac:dyDescent="0.2">
      <c r="A21" s="76" t="s">
        <v>28</v>
      </c>
      <c r="B21" s="25">
        <v>287</v>
      </c>
      <c r="C21" s="76"/>
      <c r="D21" s="85">
        <v>2000</v>
      </c>
      <c r="E21" s="25"/>
      <c r="F21" s="20">
        <f>0.75*D21</f>
        <v>1500</v>
      </c>
      <c r="G21" s="25"/>
      <c r="H21" s="25">
        <v>0</v>
      </c>
      <c r="I21" s="25"/>
      <c r="J21" s="86">
        <v>2000</v>
      </c>
    </row>
    <row r="22" spans="1:10" ht="15" x14ac:dyDescent="0.2">
      <c r="A22" s="81" t="s">
        <v>29</v>
      </c>
      <c r="B22" s="20">
        <f>SUM(B19:B21)</f>
        <v>387</v>
      </c>
      <c r="C22" s="81"/>
      <c r="D22" s="83">
        <f>SUM(D19:D21)</f>
        <v>2900</v>
      </c>
      <c r="E22" s="20"/>
      <c r="F22" s="20">
        <f>0.75*D22</f>
        <v>2175</v>
      </c>
      <c r="G22" s="20"/>
      <c r="H22" s="20">
        <f>SUM(H19:H21)</f>
        <v>73</v>
      </c>
      <c r="I22" s="20"/>
      <c r="J22" s="84">
        <f>SUM(J19:J21)</f>
        <v>2900</v>
      </c>
    </row>
    <row r="23" spans="1:10" ht="15.75" x14ac:dyDescent="0.25">
      <c r="A23" s="79" t="s">
        <v>30</v>
      </c>
      <c r="B23" s="29">
        <f>+B12+B17+B22</f>
        <v>67350</v>
      </c>
      <c r="C23" s="79"/>
      <c r="D23" s="87">
        <f>+D12+D17+D22</f>
        <v>68515</v>
      </c>
      <c r="E23" s="29"/>
      <c r="F23" s="20">
        <f>0.75*D23</f>
        <v>51386.25</v>
      </c>
      <c r="G23" s="29"/>
      <c r="H23" s="29">
        <f>+H12+H17+H22</f>
        <v>46761</v>
      </c>
      <c r="I23" s="29"/>
      <c r="J23" s="88">
        <f>+J12+J17+J22</f>
        <v>69167</v>
      </c>
    </row>
    <row r="24" spans="1:10" ht="15.75" x14ac:dyDescent="0.25">
      <c r="A24" s="79"/>
      <c r="B24" s="29"/>
      <c r="C24" s="79"/>
      <c r="D24" s="87"/>
      <c r="E24" s="29"/>
      <c r="F24" s="20"/>
      <c r="G24" s="29"/>
      <c r="H24" s="29"/>
      <c r="I24" s="29"/>
      <c r="J24" s="88"/>
    </row>
    <row r="25" spans="1:10" ht="15" x14ac:dyDescent="0.2">
      <c r="A25" t="s">
        <v>31</v>
      </c>
      <c r="B25" s="20">
        <v>100</v>
      </c>
      <c r="D25" s="89">
        <v>300</v>
      </c>
      <c r="E25" s="35"/>
      <c r="F25" s="20">
        <f t="shared" ref="F25:F32" si="1">0.75*D25</f>
        <v>225</v>
      </c>
      <c r="G25" s="35"/>
      <c r="H25" s="35">
        <v>100</v>
      </c>
      <c r="I25" s="35"/>
      <c r="J25" s="90">
        <v>300</v>
      </c>
    </row>
    <row r="26" spans="1:10" ht="15" x14ac:dyDescent="0.2">
      <c r="A26" t="s">
        <v>33</v>
      </c>
      <c r="B26" s="20">
        <v>6623</v>
      </c>
      <c r="D26" s="89">
        <v>6822</v>
      </c>
      <c r="E26" s="35"/>
      <c r="F26" s="20">
        <f t="shared" si="1"/>
        <v>5116.5</v>
      </c>
      <c r="G26" s="35"/>
      <c r="H26" s="35">
        <v>5122</v>
      </c>
      <c r="I26" s="35"/>
      <c r="J26" s="90">
        <v>6938</v>
      </c>
    </row>
    <row r="27" spans="1:10" ht="15" x14ac:dyDescent="0.2">
      <c r="A27" t="s">
        <v>34</v>
      </c>
      <c r="B27" s="20">
        <v>0</v>
      </c>
      <c r="D27" s="89">
        <v>240</v>
      </c>
      <c r="E27" s="35"/>
      <c r="F27" s="20">
        <f t="shared" si="1"/>
        <v>180</v>
      </c>
      <c r="G27" s="35"/>
      <c r="H27" s="35">
        <v>0</v>
      </c>
      <c r="I27" s="35"/>
      <c r="J27" s="90">
        <v>240</v>
      </c>
    </row>
    <row r="28" spans="1:10" ht="15" x14ac:dyDescent="0.2">
      <c r="A28" t="s">
        <v>35</v>
      </c>
      <c r="B28" s="20">
        <v>0</v>
      </c>
      <c r="D28" s="89">
        <v>0</v>
      </c>
      <c r="E28" s="35"/>
      <c r="F28" s="20">
        <f t="shared" si="1"/>
        <v>0</v>
      </c>
      <c r="G28" s="35"/>
      <c r="H28" s="35">
        <v>0</v>
      </c>
      <c r="I28" s="35"/>
      <c r="J28" s="90">
        <v>0</v>
      </c>
    </row>
    <row r="29" spans="1:10" ht="15" x14ac:dyDescent="0.2">
      <c r="A29" t="s">
        <v>36</v>
      </c>
      <c r="B29" s="20">
        <v>7019</v>
      </c>
      <c r="D29" s="89">
        <v>9857</v>
      </c>
      <c r="E29" s="35"/>
      <c r="F29" s="20">
        <f t="shared" si="1"/>
        <v>7392.75</v>
      </c>
      <c r="G29" s="35"/>
      <c r="H29" s="35">
        <v>6812</v>
      </c>
      <c r="I29" s="35"/>
      <c r="J29" s="90">
        <v>10025</v>
      </c>
    </row>
    <row r="30" spans="1:10" ht="15" x14ac:dyDescent="0.2">
      <c r="A30" t="s">
        <v>38</v>
      </c>
      <c r="B30" s="20">
        <v>0</v>
      </c>
      <c r="D30" s="89">
        <v>0</v>
      </c>
      <c r="E30" s="35"/>
      <c r="F30" s="20">
        <f t="shared" si="1"/>
        <v>0</v>
      </c>
      <c r="G30" s="35"/>
      <c r="H30" s="35">
        <v>0</v>
      </c>
      <c r="I30" s="35"/>
      <c r="J30" s="90">
        <v>0</v>
      </c>
    </row>
    <row r="31" spans="1:10" ht="15" x14ac:dyDescent="0.2">
      <c r="A31" t="s">
        <v>39</v>
      </c>
      <c r="B31" s="25">
        <v>1147</v>
      </c>
      <c r="D31" s="91">
        <v>1276</v>
      </c>
      <c r="E31" s="41"/>
      <c r="F31" s="25">
        <f t="shared" si="1"/>
        <v>957</v>
      </c>
      <c r="G31" s="41"/>
      <c r="H31" s="41">
        <v>401</v>
      </c>
      <c r="I31" s="41"/>
      <c r="J31" s="92">
        <v>900</v>
      </c>
    </row>
    <row r="32" spans="1:10" ht="15" x14ac:dyDescent="0.2">
      <c r="A32" t="s">
        <v>40</v>
      </c>
      <c r="B32" s="20">
        <f>SUM(B23:B31)</f>
        <v>82239</v>
      </c>
      <c r="D32" s="89">
        <f>SUM(D23:D31)</f>
        <v>87010</v>
      </c>
      <c r="E32" s="35"/>
      <c r="F32" s="20">
        <f t="shared" si="1"/>
        <v>65257.5</v>
      </c>
      <c r="G32" s="35"/>
      <c r="H32" s="35">
        <f>SUM(H23:H31)</f>
        <v>59196</v>
      </c>
      <c r="I32" s="35"/>
      <c r="J32" s="90">
        <f>SUM(J23:J31)</f>
        <v>87570</v>
      </c>
    </row>
    <row r="33" spans="1:12" ht="15" x14ac:dyDescent="0.2">
      <c r="A33" s="81" t="s">
        <v>32</v>
      </c>
      <c r="B33" s="20"/>
      <c r="C33" s="81"/>
      <c r="D33" s="93"/>
      <c r="G33" s="35"/>
      <c r="H33" s="35"/>
      <c r="I33" s="35"/>
      <c r="J33" s="82"/>
    </row>
    <row r="34" spans="1:12" ht="15" x14ac:dyDescent="0.2">
      <c r="A34" t="s">
        <v>41</v>
      </c>
      <c r="B34" s="20">
        <v>0</v>
      </c>
      <c r="D34" s="89">
        <v>0</v>
      </c>
      <c r="E34" s="35"/>
      <c r="F34" s="20">
        <f>0.75*D34</f>
        <v>0</v>
      </c>
      <c r="G34" s="35"/>
      <c r="H34" s="35">
        <v>0</v>
      </c>
      <c r="I34" s="35"/>
      <c r="J34" s="90">
        <v>0</v>
      </c>
    </row>
    <row r="35" spans="1:12" ht="15" x14ac:dyDescent="0.2">
      <c r="A35" t="s">
        <v>42</v>
      </c>
      <c r="B35" s="25">
        <v>642</v>
      </c>
      <c r="D35" s="91">
        <v>500</v>
      </c>
      <c r="E35" s="41"/>
      <c r="F35" s="25">
        <f>0.75*D35</f>
        <v>375</v>
      </c>
      <c r="G35" s="41"/>
      <c r="H35" s="41">
        <v>777</v>
      </c>
      <c r="I35" s="41"/>
      <c r="J35" s="92">
        <v>500</v>
      </c>
    </row>
    <row r="36" spans="1:12" ht="15" x14ac:dyDescent="0.2">
      <c r="A36" t="s">
        <v>40</v>
      </c>
      <c r="B36" s="20">
        <f>SUM(B34:B35)</f>
        <v>642</v>
      </c>
      <c r="D36" s="89">
        <f>SUM(D34:D35)</f>
        <v>500</v>
      </c>
      <c r="E36" s="35"/>
      <c r="F36" s="20">
        <f>0.75*D36</f>
        <v>375</v>
      </c>
      <c r="G36" s="35"/>
      <c r="H36" s="35">
        <f>SUM(H34:H35)</f>
        <v>777</v>
      </c>
      <c r="I36" s="35"/>
      <c r="J36" s="90">
        <f>SUM(J34:J35)</f>
        <v>500</v>
      </c>
    </row>
    <row r="37" spans="1:12" ht="15" x14ac:dyDescent="0.2">
      <c r="B37" s="20"/>
      <c r="D37" s="93"/>
      <c r="G37" s="35"/>
      <c r="H37" s="35"/>
      <c r="I37" s="35"/>
      <c r="J37" s="82"/>
    </row>
    <row r="38" spans="1:12" ht="15" x14ac:dyDescent="0.2">
      <c r="A38" s="81" t="s">
        <v>43</v>
      </c>
      <c r="B38" s="20"/>
      <c r="C38" s="81"/>
      <c r="D38" s="93"/>
      <c r="G38" s="35"/>
      <c r="H38" s="35"/>
      <c r="I38" s="35"/>
      <c r="J38" s="82"/>
    </row>
    <row r="39" spans="1:12" ht="15" x14ac:dyDescent="0.2">
      <c r="A39" s="76" t="s">
        <v>44</v>
      </c>
      <c r="B39" s="20">
        <v>427</v>
      </c>
      <c r="C39" s="76"/>
      <c r="D39" s="89">
        <v>800</v>
      </c>
      <c r="E39" s="35"/>
      <c r="F39" s="20">
        <f t="shared" ref="F39:F45" si="2">0.75*D39</f>
        <v>600</v>
      </c>
      <c r="G39" s="35"/>
      <c r="H39" s="35">
        <v>1066</v>
      </c>
      <c r="I39" s="35"/>
      <c r="J39" s="90">
        <v>1100</v>
      </c>
    </row>
    <row r="40" spans="1:12" ht="15" x14ac:dyDescent="0.2">
      <c r="A40" t="s">
        <v>46</v>
      </c>
      <c r="B40" s="20">
        <v>660</v>
      </c>
      <c r="D40" s="89">
        <v>500</v>
      </c>
      <c r="E40" s="35"/>
      <c r="F40" s="20">
        <f t="shared" si="2"/>
        <v>375</v>
      </c>
      <c r="G40" s="35"/>
      <c r="H40" s="35">
        <v>578</v>
      </c>
      <c r="I40" s="35"/>
      <c r="J40" s="90">
        <v>500</v>
      </c>
    </row>
    <row r="41" spans="1:12" ht="15" x14ac:dyDescent="0.2">
      <c r="A41" t="s">
        <v>47</v>
      </c>
      <c r="B41" s="20">
        <v>255</v>
      </c>
      <c r="D41" s="89">
        <v>200</v>
      </c>
      <c r="E41" s="35"/>
      <c r="F41" s="20">
        <f t="shared" si="2"/>
        <v>150</v>
      </c>
      <c r="G41" s="35"/>
      <c r="H41" s="35">
        <v>263</v>
      </c>
      <c r="I41" s="35"/>
      <c r="J41" s="90">
        <v>200</v>
      </c>
    </row>
    <row r="42" spans="1:12" ht="15" x14ac:dyDescent="0.2">
      <c r="A42" t="s">
        <v>48</v>
      </c>
      <c r="B42" s="20">
        <v>124</v>
      </c>
      <c r="D42" s="89">
        <v>500</v>
      </c>
      <c r="E42" s="35"/>
      <c r="F42" s="20">
        <f t="shared" si="2"/>
        <v>375</v>
      </c>
      <c r="G42" s="35"/>
      <c r="H42" s="35">
        <v>144</v>
      </c>
      <c r="I42" s="35"/>
      <c r="J42" s="90">
        <v>200</v>
      </c>
    </row>
    <row r="43" spans="1:12" ht="15" x14ac:dyDescent="0.2">
      <c r="A43" t="s">
        <v>49</v>
      </c>
      <c r="B43" s="20">
        <v>257</v>
      </c>
      <c r="D43" s="89">
        <v>200</v>
      </c>
      <c r="E43" s="35"/>
      <c r="F43" s="20">
        <f t="shared" si="2"/>
        <v>150</v>
      </c>
      <c r="G43" s="35"/>
      <c r="H43" s="35">
        <v>260</v>
      </c>
      <c r="I43" s="35"/>
      <c r="J43" s="90">
        <v>200</v>
      </c>
    </row>
    <row r="44" spans="1:12" s="94" customFormat="1" ht="15" x14ac:dyDescent="0.2">
      <c r="A44" s="94" t="s">
        <v>104</v>
      </c>
      <c r="B44" s="95">
        <v>13</v>
      </c>
      <c r="D44" s="96">
        <v>100</v>
      </c>
      <c r="E44" s="97"/>
      <c r="F44" s="95">
        <f t="shared" si="2"/>
        <v>75</v>
      </c>
      <c r="G44" s="97"/>
      <c r="H44" s="97">
        <v>54</v>
      </c>
      <c r="I44" s="97"/>
      <c r="J44" s="98">
        <v>100</v>
      </c>
      <c r="L44"/>
    </row>
    <row r="45" spans="1:12" ht="15" x14ac:dyDescent="0.2">
      <c r="A45" t="s">
        <v>40</v>
      </c>
      <c r="B45" s="20">
        <f>SUM(B39:B44)</f>
        <v>1736</v>
      </c>
      <c r="D45" s="89">
        <f>SUM(D39:D44)</f>
        <v>2300</v>
      </c>
      <c r="E45" s="35"/>
      <c r="F45" s="20">
        <f t="shared" si="2"/>
        <v>1725</v>
      </c>
      <c r="G45" s="35"/>
      <c r="H45" s="35">
        <f>SUM(H39:H44)</f>
        <v>2365</v>
      </c>
      <c r="I45" s="35"/>
      <c r="J45" s="90">
        <f>SUM(J39:J44)</f>
        <v>2300</v>
      </c>
    </row>
    <row r="46" spans="1:12" ht="15" x14ac:dyDescent="0.2">
      <c r="B46" s="20"/>
      <c r="D46" s="93"/>
      <c r="G46" s="35"/>
      <c r="H46" s="35"/>
      <c r="I46" s="35"/>
      <c r="J46" s="82"/>
    </row>
    <row r="47" spans="1:12" ht="15" x14ac:dyDescent="0.2">
      <c r="A47" s="81" t="s">
        <v>50</v>
      </c>
      <c r="B47" s="20"/>
      <c r="C47" s="81"/>
      <c r="D47" s="93"/>
      <c r="G47" s="35"/>
      <c r="H47" s="35"/>
      <c r="I47" s="35"/>
      <c r="J47" s="82"/>
    </row>
    <row r="48" spans="1:12" ht="15" x14ac:dyDescent="0.2">
      <c r="A48" t="s">
        <v>51</v>
      </c>
      <c r="B48" s="20">
        <v>0</v>
      </c>
      <c r="D48" s="89">
        <v>0</v>
      </c>
      <c r="E48" s="35"/>
      <c r="F48" s="20">
        <f>0.75*D48</f>
        <v>0</v>
      </c>
      <c r="G48" s="35"/>
      <c r="H48" s="35">
        <v>17</v>
      </c>
      <c r="I48" s="35"/>
      <c r="J48" s="99">
        <v>0</v>
      </c>
    </row>
    <row r="49" spans="1:10" ht="15" x14ac:dyDescent="0.2">
      <c r="A49" t="s">
        <v>52</v>
      </c>
      <c r="B49" s="25">
        <v>19824</v>
      </c>
      <c r="D49" s="91">
        <v>19476</v>
      </c>
      <c r="E49" s="41"/>
      <c r="F49" s="25">
        <f>0.75*D49</f>
        <v>14607</v>
      </c>
      <c r="G49" s="41"/>
      <c r="H49" s="41">
        <v>8277</v>
      </c>
      <c r="I49" s="41"/>
      <c r="J49" s="100">
        <v>20496</v>
      </c>
    </row>
    <row r="50" spans="1:10" ht="15" x14ac:dyDescent="0.2">
      <c r="A50" t="s">
        <v>40</v>
      </c>
      <c r="B50" s="20">
        <f>SUM(B46:B49)</f>
        <v>19824</v>
      </c>
      <c r="D50" s="89">
        <f>SUM(D46:D49)</f>
        <v>19476</v>
      </c>
      <c r="E50" s="35"/>
      <c r="F50" s="20">
        <f>0.75*D50</f>
        <v>14607</v>
      </c>
      <c r="G50" s="35"/>
      <c r="H50" s="35">
        <f>SUM(H48:H49)</f>
        <v>8294</v>
      </c>
      <c r="I50" s="35"/>
      <c r="J50" s="99">
        <f>SUM(J46:J49)</f>
        <v>20496</v>
      </c>
    </row>
    <row r="51" spans="1:10" ht="15" x14ac:dyDescent="0.2">
      <c r="B51" s="20"/>
      <c r="D51" s="89"/>
      <c r="E51" s="35"/>
      <c r="F51" s="35"/>
      <c r="G51" s="35"/>
      <c r="H51" s="35"/>
      <c r="I51" s="35"/>
      <c r="J51" s="99"/>
    </row>
    <row r="52" spans="1:10" ht="15" x14ac:dyDescent="0.2">
      <c r="A52" s="81" t="s">
        <v>54</v>
      </c>
      <c r="B52" s="20"/>
      <c r="C52" s="81"/>
      <c r="D52" s="89"/>
      <c r="E52" s="35"/>
      <c r="F52" s="35"/>
      <c r="G52" s="35"/>
      <c r="H52" s="35"/>
      <c r="I52" s="35"/>
      <c r="J52" s="99"/>
    </row>
    <row r="53" spans="1:10" ht="15" x14ac:dyDescent="0.2">
      <c r="A53" t="s">
        <v>55</v>
      </c>
      <c r="B53" s="20">
        <v>115</v>
      </c>
      <c r="D53" s="89">
        <v>250</v>
      </c>
      <c r="E53" s="35"/>
      <c r="F53" s="20">
        <f>0.75*D53</f>
        <v>187.5</v>
      </c>
      <c r="G53" s="35"/>
      <c r="H53" s="35">
        <v>155</v>
      </c>
      <c r="I53" s="35"/>
      <c r="J53" s="90">
        <v>250</v>
      </c>
    </row>
    <row r="54" spans="1:10" ht="15" x14ac:dyDescent="0.2">
      <c r="A54" t="s">
        <v>42</v>
      </c>
      <c r="B54" s="25">
        <v>393</v>
      </c>
      <c r="D54" s="91">
        <v>100</v>
      </c>
      <c r="E54" s="41"/>
      <c r="F54" s="25">
        <f>0.75*D54</f>
        <v>75</v>
      </c>
      <c r="G54" s="35"/>
      <c r="H54" s="41">
        <v>583</v>
      </c>
      <c r="I54" s="35"/>
      <c r="J54" s="92">
        <v>100</v>
      </c>
    </row>
    <row r="55" spans="1:10" ht="15" x14ac:dyDescent="0.2">
      <c r="A55" t="s">
        <v>40</v>
      </c>
      <c r="B55" s="20">
        <f>SUM(B53:B54)</f>
        <v>508</v>
      </c>
      <c r="D55" s="89">
        <f>SUM(D53:D54)</f>
        <v>350</v>
      </c>
      <c r="E55" s="35"/>
      <c r="F55" s="20">
        <f>0.75*D55</f>
        <v>262.5</v>
      </c>
      <c r="G55" s="35"/>
      <c r="H55" s="35">
        <f>SUM(H53:H54)</f>
        <v>738</v>
      </c>
      <c r="I55" s="35"/>
      <c r="J55" s="90">
        <f>SUM(J53:J54)</f>
        <v>350</v>
      </c>
    </row>
    <row r="56" spans="1:10" ht="15" x14ac:dyDescent="0.2">
      <c r="B56" s="20"/>
      <c r="D56" s="93"/>
      <c r="G56" s="35"/>
      <c r="H56" s="35"/>
      <c r="I56" s="35"/>
      <c r="J56" s="82"/>
    </row>
    <row r="57" spans="1:10" ht="15" x14ac:dyDescent="0.2">
      <c r="A57" s="81" t="s">
        <v>57</v>
      </c>
      <c r="B57" s="20"/>
      <c r="C57" s="81"/>
      <c r="D57" s="93"/>
      <c r="G57" s="35"/>
      <c r="H57" s="35"/>
      <c r="I57" s="35"/>
      <c r="J57" s="82"/>
    </row>
    <row r="58" spans="1:10" ht="15" x14ac:dyDescent="0.2">
      <c r="A58" t="s">
        <v>58</v>
      </c>
      <c r="B58" s="20">
        <v>1477</v>
      </c>
      <c r="D58" s="89">
        <v>1200</v>
      </c>
      <c r="E58" s="35"/>
      <c r="F58" s="20">
        <f t="shared" ref="F58:F64" si="3">0.75*D58</f>
        <v>900</v>
      </c>
      <c r="G58" s="35"/>
      <c r="H58" s="35">
        <v>1030</v>
      </c>
      <c r="I58" s="35"/>
      <c r="J58" s="90">
        <v>1200</v>
      </c>
    </row>
    <row r="59" spans="1:10" ht="15" x14ac:dyDescent="0.2">
      <c r="A59" t="s">
        <v>59</v>
      </c>
      <c r="B59" s="20">
        <v>566</v>
      </c>
      <c r="D59" s="89">
        <v>800</v>
      </c>
      <c r="E59" s="35"/>
      <c r="F59" s="20">
        <f t="shared" si="3"/>
        <v>600</v>
      </c>
      <c r="G59" s="35"/>
      <c r="H59" s="35">
        <v>688</v>
      </c>
      <c r="I59" s="35"/>
      <c r="J59" s="90">
        <v>800</v>
      </c>
    </row>
    <row r="60" spans="1:10" ht="15" x14ac:dyDescent="0.2">
      <c r="A60" t="s">
        <v>60</v>
      </c>
      <c r="B60" s="20">
        <v>715</v>
      </c>
      <c r="D60" s="89">
        <v>850</v>
      </c>
      <c r="E60" s="35"/>
      <c r="F60" s="20">
        <f t="shared" si="3"/>
        <v>637.5</v>
      </c>
      <c r="G60" s="35"/>
      <c r="H60" s="35">
        <v>518</v>
      </c>
      <c r="I60" s="35"/>
      <c r="J60" s="90">
        <v>850</v>
      </c>
    </row>
    <row r="61" spans="1:10" ht="15" x14ac:dyDescent="0.2">
      <c r="A61" t="s">
        <v>62</v>
      </c>
      <c r="B61" s="20">
        <v>1465</v>
      </c>
      <c r="D61" s="89">
        <v>1500</v>
      </c>
      <c r="E61" s="35"/>
      <c r="F61" s="20">
        <f t="shared" si="3"/>
        <v>1125</v>
      </c>
      <c r="G61" s="35"/>
      <c r="H61" s="35">
        <v>1025</v>
      </c>
      <c r="I61" s="35"/>
      <c r="J61" s="90">
        <v>1500</v>
      </c>
    </row>
    <row r="62" spans="1:10" ht="15" x14ac:dyDescent="0.2">
      <c r="A62" t="s">
        <v>63</v>
      </c>
      <c r="B62" s="20">
        <v>93</v>
      </c>
      <c r="D62" s="89">
        <v>100</v>
      </c>
      <c r="E62" s="35"/>
      <c r="F62" s="20">
        <f t="shared" si="3"/>
        <v>75</v>
      </c>
      <c r="G62" s="35"/>
      <c r="H62" s="35">
        <v>948</v>
      </c>
      <c r="I62" s="35"/>
      <c r="J62" s="90">
        <v>100</v>
      </c>
    </row>
    <row r="63" spans="1:10" ht="15" x14ac:dyDescent="0.2">
      <c r="A63" t="s">
        <v>64</v>
      </c>
      <c r="B63" s="25">
        <v>0</v>
      </c>
      <c r="D63" s="91">
        <v>150</v>
      </c>
      <c r="E63" s="41"/>
      <c r="F63" s="25">
        <f t="shared" si="3"/>
        <v>112.5</v>
      </c>
      <c r="G63" s="41"/>
      <c r="H63" s="41">
        <v>0</v>
      </c>
      <c r="I63" s="41"/>
      <c r="J63" s="92">
        <v>150</v>
      </c>
    </row>
    <row r="64" spans="1:10" ht="15" x14ac:dyDescent="0.2">
      <c r="A64" t="s">
        <v>40</v>
      </c>
      <c r="B64" s="20">
        <f>SUM(B58:B63)</f>
        <v>4316</v>
      </c>
      <c r="D64" s="89">
        <f>SUM(D58:D63)</f>
        <v>4600</v>
      </c>
      <c r="E64" s="35"/>
      <c r="F64" s="20">
        <f t="shared" si="3"/>
        <v>3450</v>
      </c>
      <c r="G64" s="35"/>
      <c r="H64" s="35">
        <f>SUM(H58:H63)</f>
        <v>4209</v>
      </c>
      <c r="I64" s="35"/>
      <c r="J64" s="90">
        <f>SUM(J58:J63)</f>
        <v>4600</v>
      </c>
    </row>
    <row r="65" spans="1:10" ht="15" x14ac:dyDescent="0.2">
      <c r="A65" s="81" t="s">
        <v>65</v>
      </c>
      <c r="B65" s="20"/>
      <c r="C65" s="81"/>
      <c r="D65" s="93"/>
      <c r="G65" s="35"/>
      <c r="H65" s="35"/>
      <c r="I65" s="35"/>
      <c r="J65" s="82"/>
    </row>
    <row r="66" spans="1:10" ht="15" x14ac:dyDescent="0.2">
      <c r="A66" t="s">
        <v>66</v>
      </c>
      <c r="B66" s="20">
        <v>7941</v>
      </c>
      <c r="D66" s="89">
        <v>10000</v>
      </c>
      <c r="E66" s="35"/>
      <c r="F66" s="20">
        <f t="shared" ref="F66:F73" si="4">0.75*D66</f>
        <v>7500</v>
      </c>
      <c r="G66" s="35"/>
      <c r="H66" s="35">
        <v>6653</v>
      </c>
      <c r="I66" s="35"/>
      <c r="J66" s="90">
        <v>10000</v>
      </c>
    </row>
    <row r="67" spans="1:10" ht="15" x14ac:dyDescent="0.2">
      <c r="A67" t="s">
        <v>67</v>
      </c>
      <c r="B67" s="20">
        <v>9197</v>
      </c>
      <c r="D67" s="89">
        <v>5000</v>
      </c>
      <c r="E67" s="35"/>
      <c r="F67" s="20">
        <f t="shared" si="4"/>
        <v>3750</v>
      </c>
      <c r="G67" s="35"/>
      <c r="H67" s="35">
        <v>37816</v>
      </c>
      <c r="I67" s="35"/>
      <c r="J67" s="90">
        <v>5000</v>
      </c>
    </row>
    <row r="68" spans="1:10" ht="15" x14ac:dyDescent="0.2">
      <c r="A68" t="s">
        <v>68</v>
      </c>
      <c r="B68" s="20">
        <v>6457</v>
      </c>
      <c r="D68" s="89">
        <v>6000</v>
      </c>
      <c r="E68" s="35"/>
      <c r="F68" s="20">
        <f t="shared" si="4"/>
        <v>4500</v>
      </c>
      <c r="G68" s="35"/>
      <c r="H68" s="35">
        <v>4864</v>
      </c>
      <c r="I68" s="35"/>
      <c r="J68" s="90">
        <v>6000</v>
      </c>
    </row>
    <row r="69" spans="1:10" ht="15" x14ac:dyDescent="0.2">
      <c r="A69" t="s">
        <v>69</v>
      </c>
      <c r="B69" s="20">
        <v>6078</v>
      </c>
      <c r="D69" s="89">
        <v>600</v>
      </c>
      <c r="E69" s="35"/>
      <c r="F69" s="20">
        <f t="shared" si="4"/>
        <v>450</v>
      </c>
      <c r="G69" s="35"/>
      <c r="H69" s="35">
        <v>168</v>
      </c>
      <c r="I69" s="35"/>
      <c r="J69" s="90">
        <v>600</v>
      </c>
    </row>
    <row r="70" spans="1:10" ht="15" x14ac:dyDescent="0.2">
      <c r="A70" s="76" t="s">
        <v>70</v>
      </c>
      <c r="B70" s="20">
        <v>15</v>
      </c>
      <c r="C70" s="76"/>
      <c r="D70" s="89">
        <v>0</v>
      </c>
      <c r="E70" s="35"/>
      <c r="F70" s="20">
        <f t="shared" si="4"/>
        <v>0</v>
      </c>
      <c r="G70" s="35"/>
      <c r="H70" s="35">
        <v>554</v>
      </c>
      <c r="I70" s="35"/>
      <c r="J70" s="90">
        <v>2100</v>
      </c>
    </row>
    <row r="71" spans="1:10" ht="15" x14ac:dyDescent="0.2">
      <c r="A71" t="s">
        <v>71</v>
      </c>
      <c r="B71" s="20">
        <v>9360</v>
      </c>
      <c r="D71" s="89">
        <v>9360</v>
      </c>
      <c r="E71" s="35"/>
      <c r="F71" s="20">
        <f t="shared" si="4"/>
        <v>7020</v>
      </c>
      <c r="G71" s="35"/>
      <c r="H71" s="35">
        <v>6300</v>
      </c>
      <c r="I71" s="35"/>
      <c r="J71" s="99">
        <v>9360</v>
      </c>
    </row>
    <row r="72" spans="1:10" ht="15" x14ac:dyDescent="0.2">
      <c r="A72" t="s">
        <v>72</v>
      </c>
      <c r="B72" s="20">
        <v>361</v>
      </c>
      <c r="D72" s="89">
        <v>500</v>
      </c>
      <c r="E72" s="35"/>
      <c r="F72" s="20">
        <f t="shared" si="4"/>
        <v>375</v>
      </c>
      <c r="G72" s="35"/>
      <c r="H72" s="35">
        <v>326</v>
      </c>
      <c r="I72" s="35"/>
      <c r="J72" s="90">
        <v>500</v>
      </c>
    </row>
    <row r="73" spans="1:10" ht="15" x14ac:dyDescent="0.2">
      <c r="A73" t="s">
        <v>73</v>
      </c>
      <c r="B73" s="20">
        <v>2400</v>
      </c>
      <c r="D73" s="89">
        <v>4800</v>
      </c>
      <c r="E73" s="35"/>
      <c r="F73" s="20">
        <f t="shared" si="4"/>
        <v>3600</v>
      </c>
      <c r="G73" s="35"/>
      <c r="H73" s="35">
        <v>2969</v>
      </c>
      <c r="I73" s="35"/>
      <c r="J73" s="90">
        <v>3600</v>
      </c>
    </row>
    <row r="74" spans="1:10" ht="15" x14ac:dyDescent="0.2">
      <c r="A74" t="s">
        <v>74</v>
      </c>
      <c r="B74" s="20"/>
      <c r="D74" s="93"/>
      <c r="G74" s="35"/>
      <c r="H74" s="35"/>
      <c r="I74" s="35"/>
      <c r="J74" s="101"/>
    </row>
    <row r="75" spans="1:10" ht="15" x14ac:dyDescent="0.2">
      <c r="A75" t="s">
        <v>75</v>
      </c>
      <c r="B75" s="20">
        <v>2182</v>
      </c>
      <c r="D75" s="89">
        <v>3000</v>
      </c>
      <c r="E75" s="35"/>
      <c r="F75" s="20">
        <f>0.75*D75</f>
        <v>2250</v>
      </c>
      <c r="G75" s="35"/>
      <c r="H75" s="35">
        <v>2877</v>
      </c>
      <c r="I75" s="35"/>
      <c r="J75" s="90">
        <v>4000</v>
      </c>
    </row>
    <row r="76" spans="1:10" ht="15" x14ac:dyDescent="0.2">
      <c r="A76" t="s">
        <v>76</v>
      </c>
      <c r="B76" s="20">
        <v>0</v>
      </c>
      <c r="D76" s="89">
        <v>480</v>
      </c>
      <c r="E76" s="35"/>
      <c r="F76" s="20">
        <f>0.75*D76</f>
        <v>360</v>
      </c>
      <c r="G76" s="35"/>
      <c r="H76" s="35">
        <v>0</v>
      </c>
      <c r="I76" s="35"/>
      <c r="J76" s="90">
        <v>480</v>
      </c>
    </row>
    <row r="77" spans="1:10" ht="15" x14ac:dyDescent="0.2">
      <c r="A77" t="s">
        <v>77</v>
      </c>
      <c r="B77" s="20">
        <v>3764</v>
      </c>
      <c r="D77" s="89">
        <v>4000</v>
      </c>
      <c r="E77" s="35"/>
      <c r="F77" s="20">
        <f>0.75*D77</f>
        <v>3000</v>
      </c>
      <c r="G77" s="35"/>
      <c r="H77" s="35">
        <v>60</v>
      </c>
      <c r="I77" s="35"/>
      <c r="J77" s="90">
        <v>1000</v>
      </c>
    </row>
    <row r="78" spans="1:10" ht="15" x14ac:dyDescent="0.2">
      <c r="A78" t="s">
        <v>78</v>
      </c>
      <c r="B78" s="25">
        <v>128</v>
      </c>
      <c r="D78" s="91">
        <v>300</v>
      </c>
      <c r="E78" s="41"/>
      <c r="F78" s="25">
        <f>0.75*D78</f>
        <v>225</v>
      </c>
      <c r="G78" s="41"/>
      <c r="H78" s="41">
        <v>0</v>
      </c>
      <c r="I78" s="41"/>
      <c r="J78" s="92">
        <v>300</v>
      </c>
    </row>
    <row r="79" spans="1:10" ht="15" x14ac:dyDescent="0.2">
      <c r="A79" t="s">
        <v>79</v>
      </c>
      <c r="B79" s="20">
        <f>SUM(B66:B78)</f>
        <v>47883</v>
      </c>
      <c r="D79" s="89">
        <f>SUM(D66:D78)</f>
        <v>44040</v>
      </c>
      <c r="E79" s="35"/>
      <c r="F79" s="20">
        <f>0.75*D79</f>
        <v>33030</v>
      </c>
      <c r="G79" s="35"/>
      <c r="H79" s="35">
        <f>SUM(H66:H78)</f>
        <v>62587</v>
      </c>
      <c r="I79" s="35"/>
      <c r="J79" s="90">
        <f>SUM(J66:J78)</f>
        <v>42940</v>
      </c>
    </row>
    <row r="80" spans="1:10" ht="15" x14ac:dyDescent="0.2">
      <c r="B80" s="20"/>
      <c r="D80" s="93"/>
      <c r="G80" s="35"/>
      <c r="H80" s="35"/>
      <c r="I80" s="35"/>
      <c r="J80" s="82"/>
    </row>
    <row r="81" spans="1:10" ht="15" x14ac:dyDescent="0.2">
      <c r="A81" t="s">
        <v>80</v>
      </c>
      <c r="B81" s="20">
        <f>+B32+B36+B45+B50+B55+B64+B79</f>
        <v>157148</v>
      </c>
      <c r="D81" s="89">
        <f>+D32+D36+D45+D50+D55+D64+D79</f>
        <v>158276</v>
      </c>
      <c r="E81" s="35"/>
      <c r="F81" s="20">
        <f>0.75*D81</f>
        <v>118707</v>
      </c>
      <c r="G81" s="35"/>
      <c r="H81" s="35">
        <f>+H32+H36+H45+H50+H55+H64+H79</f>
        <v>138166</v>
      </c>
      <c r="I81" s="35"/>
      <c r="J81" s="90">
        <f>+J32+J36+J45+J50+J55+J64+J79</f>
        <v>158756</v>
      </c>
    </row>
    <row r="82" spans="1:10" x14ac:dyDescent="0.2">
      <c r="C82" s="76"/>
      <c r="I82" s="54"/>
    </row>
    <row r="83" spans="1:10" x14ac:dyDescent="0.2">
      <c r="A83" s="102" t="s">
        <v>105</v>
      </c>
      <c r="B83" s="81" t="s">
        <v>81</v>
      </c>
    </row>
    <row r="84" spans="1:10" x14ac:dyDescent="0.2">
      <c r="A84" s="103">
        <f>(J81-D81)/D81</f>
        <v>3.0326770957062347E-3</v>
      </c>
      <c r="B84" t="s">
        <v>84</v>
      </c>
      <c r="C84" s="76"/>
    </row>
    <row r="85" spans="1:10" x14ac:dyDescent="0.2">
      <c r="A85" s="104">
        <f>J81/12</f>
        <v>13229.666666666666</v>
      </c>
      <c r="B85" t="s">
        <v>88</v>
      </c>
    </row>
    <row r="86" spans="1:10" x14ac:dyDescent="0.2">
      <c r="A86" s="104">
        <f>J81/52</f>
        <v>3053</v>
      </c>
      <c r="B86" t="s">
        <v>90</v>
      </c>
    </row>
  </sheetData>
  <sheetProtection selectLockedCells="1" selectUnlockedCells="1"/>
  <printOptions horizontalCentered="1"/>
  <pageMargins left="0.75" right="0.75" top="0.78888888888888897" bottom="0.47013888888888888" header="0.2902777777777778" footer="0.25"/>
  <pageSetup firstPageNumber="0" orientation="landscape" horizontalDpi="300" verticalDpi="300"/>
  <headerFooter alignWithMargins="0">
    <oddHeader>&amp;C&amp;"Arial,Bold"EDGERTON UNITED METHODIST CHURCH PROPOSED BUDGET, 2014</oddHeader>
    <oddFooter>&amp;RStewardship/Finance Ministry Team, November 13, 2013</oddFooter>
  </headerFooter>
  <rowBreaks count="2" manualBreakCount="2">
    <brk id="32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Narrative Analysis</vt:lpstr>
      <vt:lpstr>2016 Budget</vt:lpstr>
      <vt:lpstr>Pie Chart</vt:lpstr>
      <vt:lpstr>2014 Budget</vt:lpstr>
      <vt:lpstr>'2016 Budget'!Print_Area</vt:lpstr>
      <vt:lpstr>'2014 Budget'!Print_Titles</vt:lpstr>
      <vt:lpstr>'2016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Wells</dc:creator>
  <cp:lastModifiedBy>Tom Schaefer</cp:lastModifiedBy>
  <cp:lastPrinted>2018-06-13T20:23:02Z</cp:lastPrinted>
  <dcterms:created xsi:type="dcterms:W3CDTF">2015-10-30T19:27:41Z</dcterms:created>
  <dcterms:modified xsi:type="dcterms:W3CDTF">2019-09-23T16:05:57Z</dcterms:modified>
</cp:coreProperties>
</file>